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918" activeTab="0"/>
  </bookViews>
  <sheets>
    <sheet name="Калькуляция (тр.режим)" sheetId="1" r:id="rId1"/>
    <sheet name="Калькуляция(экскавация)" sheetId="2" r:id="rId2"/>
    <sheet name="Калькуляция(погрузка)" sheetId="3" r:id="rId3"/>
    <sheet name="Себестоимость(тр.режим)" sheetId="4" r:id="rId4"/>
    <sheet name="Себестоимость(экскавация)" sheetId="5" r:id="rId5"/>
    <sheet name="Себестоимость(погрузка)" sheetId="6" r:id="rId6"/>
    <sheet name="ГСМ" sheetId="7" r:id="rId7"/>
    <sheet name="СМ" sheetId="8" r:id="rId8"/>
    <sheet name="ЗП" sheetId="9" r:id="rId9"/>
    <sheet name="амортизация" sheetId="10" r:id="rId10"/>
    <sheet name="расчет % ОПР" sheetId="11" r:id="rId11"/>
    <sheet name="расчет % ОХР" sheetId="12" r:id="rId12"/>
    <sheet name="группы автотранспорта" sheetId="13" r:id="rId13"/>
  </sheets>
  <definedNames>
    <definedName name="_xlnm.Print_Area" localSheetId="9">'амортизация'!$B$2:$K$32</definedName>
    <definedName name="_xlnm.Print_Area" localSheetId="12">'группы автотранспорта'!$B$2:$E$25</definedName>
    <definedName name="_xlnm.Print_Area" localSheetId="6">'ГСМ'!$B$2:$R$33</definedName>
    <definedName name="_xlnm.Print_Area" localSheetId="8">'ЗП'!$B$2:$AB$36</definedName>
    <definedName name="_xlnm.Print_Area" localSheetId="0">'Калькуляция (тр.режим)'!$B$2:$K$40</definedName>
    <definedName name="_xlnm.Print_Area" localSheetId="2">'Калькуляция(погрузка)'!$B$2:$K$40</definedName>
    <definedName name="_xlnm.Print_Area" localSheetId="1">'Калькуляция(экскавация)'!$B$2:$K$40</definedName>
    <definedName name="_xlnm.Print_Area" localSheetId="10">'расчет % ОПР'!$B$2:$H$30</definedName>
    <definedName name="_xlnm.Print_Area" localSheetId="11">'расчет % ОХР'!$B$2:$H$34</definedName>
    <definedName name="_xlnm.Print_Area" localSheetId="5">'Себестоимость(погрузка)'!$B$2:$Q$33</definedName>
    <definedName name="_xlnm.Print_Area" localSheetId="3">'Себестоимость(тр.режим)'!$B$2:$Q$33</definedName>
    <definedName name="_xlnm.Print_Area" localSheetId="4">'Себестоимость(экскавация)'!$B$2:$Q$33</definedName>
    <definedName name="_xlnm.Print_Area" localSheetId="7">'СМ'!$B$2:$R$33</definedName>
  </definedNames>
  <calcPr fullCalcOnLoad="1" iterate="1" iterateCount="100" iterateDelta="0.001"/>
</workbook>
</file>

<file path=xl/comments13.xml><?xml version="1.0" encoding="utf-8"?>
<comments xmlns="http://schemas.openxmlformats.org/spreadsheetml/2006/main">
  <authors>
    <author>u-jeenn</author>
  </authors>
  <commentList>
    <comment ref="E2" authorId="0">
      <text>
        <r>
          <rPr>
            <sz val="8"/>
            <rFont val="Tahoma"/>
            <family val="2"/>
          </rPr>
          <t xml:space="preserve">Группировка автотранспорта может быть выбрана организацией  самостоятельно.
</t>
        </r>
      </text>
    </comment>
  </commentList>
</comments>
</file>

<file path=xl/comments7.xml><?xml version="1.0" encoding="utf-8"?>
<comments xmlns="http://schemas.openxmlformats.org/spreadsheetml/2006/main">
  <authors>
    <author>Краснянский Евгений</author>
  </authors>
  <commentList>
    <comment ref="H8" authorId="0">
      <text>
        <r>
          <rPr>
            <sz val="7"/>
            <rFont val="Tahoma"/>
            <family val="2"/>
          </rPr>
          <t>указать "Да" или "Нет"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Устанавливается в размере:
</t>
        </r>
        <r>
          <rPr>
            <sz val="8"/>
            <rFont val="Tahoma"/>
            <family val="2"/>
          </rPr>
          <t>3% - с 1.04 по 31.10
5% - с 1.11 по 31.03</t>
        </r>
      </text>
    </comment>
    <comment ref="G8" authorId="0">
      <text>
        <r>
          <rPr>
            <sz val="7"/>
            <rFont val="Tahoma"/>
            <family val="2"/>
          </rPr>
          <t>указать "ДТ" или "Н-80"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Краснянский Евгений</author>
  </authors>
  <commentList>
    <comment ref="H8" authorId="0">
      <text>
        <r>
          <rPr>
            <sz val="8"/>
            <rFont val="Tahoma"/>
            <family val="2"/>
          </rPr>
          <t>Норма времени утверждается ежегодно. На 2011 год утверждена Пост. МинТруда и СЗ №135 от 01.10.2010 и равна для пятидневной рабочей недели с выходными днями в субботу и воскресенье – 2037 часов</t>
        </r>
      </text>
    </comment>
  </commentList>
</comments>
</file>

<file path=xl/sharedStrings.xml><?xml version="1.0" encoding="utf-8"?>
<sst xmlns="http://schemas.openxmlformats.org/spreadsheetml/2006/main" count="508" uniqueCount="185">
  <si>
    <t>Синий цвет цифр обозначает, что заполнение данных ячеек происходит автоматически.</t>
  </si>
  <si>
    <t>№ п/п</t>
  </si>
  <si>
    <t>Сумма, рублей</t>
  </si>
  <si>
    <t>Премия</t>
  </si>
  <si>
    <t>Итого</t>
  </si>
  <si>
    <t>Главный бухгалтер</t>
  </si>
  <si>
    <t xml:space="preserve">Экономист </t>
  </si>
  <si>
    <t>Утверждаю</t>
  </si>
  <si>
    <t>директор РДУП "Автомобильный парк № 555</t>
  </si>
  <si>
    <t>"_____" ______________ 20___ г.</t>
  </si>
  <si>
    <t>подпись</t>
  </si>
  <si>
    <t>Петрова А.А.</t>
  </si>
  <si>
    <t>Сидорова А.А.</t>
  </si>
  <si>
    <t>Калькуляция</t>
  </si>
  <si>
    <t>Наименование статей</t>
  </si>
  <si>
    <t>Установленный %</t>
  </si>
  <si>
    <t>Иванов С.Т.</t>
  </si>
  <si>
    <t>Дополнительная заработная плата</t>
  </si>
  <si>
    <t>Отчисления ФСЗН</t>
  </si>
  <si>
    <t>Обязательное страхование</t>
  </si>
  <si>
    <t>Амортизация</t>
  </si>
  <si>
    <t>Цеховые расходы</t>
  </si>
  <si>
    <t>Общехозяйственные расходы</t>
  </si>
  <si>
    <t>Производственная себестоимость</t>
  </si>
  <si>
    <t>Инновационный фонд</t>
  </si>
  <si>
    <t>Полная себестоимость</t>
  </si>
  <si>
    <t>Прибыль</t>
  </si>
  <si>
    <t>Цена без НДС</t>
  </si>
  <si>
    <t>Налог на добавленную стоимость</t>
  </si>
  <si>
    <t>Цена с НДС</t>
  </si>
  <si>
    <t>Расчет</t>
  </si>
  <si>
    <t>Марка автотранспорта</t>
  </si>
  <si>
    <t>ГОС №</t>
  </si>
  <si>
    <t>Заработная плата водителей, руб.</t>
  </si>
  <si>
    <t xml:space="preserve">Служба, подразделение </t>
  </si>
  <si>
    <t>Производст- венная себестоимость, руб.</t>
  </si>
  <si>
    <t>Трансп. цех</t>
  </si>
  <si>
    <t>-</t>
  </si>
  <si>
    <t>Средняя по группе</t>
  </si>
  <si>
    <t>Наименование профессии</t>
  </si>
  <si>
    <t>Тарифный оклад, руб.</t>
  </si>
  <si>
    <t>Повышение при заключении контракта</t>
  </si>
  <si>
    <t>Годовой ФОТ по ставкам, руб.</t>
  </si>
  <si>
    <t>Вознаграждение за выслугу лет</t>
  </si>
  <si>
    <t>Надбавка за профмастерство (классность)</t>
  </si>
  <si>
    <t>Итого ФОТ, руб.</t>
  </si>
  <si>
    <t>Себестоимость 1 чел.-ч, руб.</t>
  </si>
  <si>
    <t>руб.</t>
  </si>
  <si>
    <t>%</t>
  </si>
  <si>
    <t>ФОТ, руб.</t>
  </si>
  <si>
    <t>Кол-во штатных единиц</t>
  </si>
  <si>
    <t>Тарифный коэф-т</t>
  </si>
  <si>
    <t>Техно- логи- ческий коэф-т</t>
  </si>
  <si>
    <t>затрат на заработную плату водителей по группе:</t>
  </si>
  <si>
    <t>Тарифная ставка 1-го разряда</t>
  </si>
  <si>
    <t xml:space="preserve">Часовая тарифная справка 1-го разряда </t>
  </si>
  <si>
    <t>часов</t>
  </si>
  <si>
    <t>рублей</t>
  </si>
  <si>
    <t>коэф-т</t>
  </si>
  <si>
    <t>Повышение по постановлению Совета Министров РБ от 09.11.1999 № 1748</t>
  </si>
  <si>
    <t>Тарифная ставка, руб.</t>
  </si>
  <si>
    <t>Доплата за вредность</t>
  </si>
  <si>
    <t>годовой фонд рабочего времени, ч</t>
  </si>
  <si>
    <t>амортизационных отчислений по группе:</t>
  </si>
  <si>
    <t>Амортизационные отчисления на 1 маш.-ч, руб.</t>
  </si>
  <si>
    <t>Месячная норма амортизации, %</t>
  </si>
  <si>
    <t>Амортизи- руемая стоимость, руб.</t>
  </si>
  <si>
    <t>Месячная сумма аморти- зационных отчислений, руб.</t>
  </si>
  <si>
    <t>процента общепроизводственных расходов</t>
  </si>
  <si>
    <t>Статьи затрат</t>
  </si>
  <si>
    <t>Темп роста, %</t>
  </si>
  <si>
    <t>Факт за предыдущий период</t>
  </si>
  <si>
    <t xml:space="preserve">Оплата труда цехового персонала  </t>
  </si>
  <si>
    <t>Обязательные отчисления в ФСЗН</t>
  </si>
  <si>
    <t>Страхование от несчастных случаев</t>
  </si>
  <si>
    <t>Ремонт  зданий, оборудования</t>
  </si>
  <si>
    <t>Амортизация зданий, сооружений</t>
  </si>
  <si>
    <t xml:space="preserve">Содержание зданий </t>
  </si>
  <si>
    <t>Вода и канализация</t>
  </si>
  <si>
    <t xml:space="preserve">Электроэнергия и теплоэнергия на отопление и освещение </t>
  </si>
  <si>
    <t>Налог на землю</t>
  </si>
  <si>
    <t>Расходы на подготовку и переподготовку кадров</t>
  </si>
  <si>
    <t>Командировочные расходы цехового персонала</t>
  </si>
  <si>
    <t>Расходы на охрану труда</t>
  </si>
  <si>
    <t>Спецоснастка и спецодежда в эксплуатации</t>
  </si>
  <si>
    <t>Инвентарь и хозпринадлежности в экплуатации</t>
  </si>
  <si>
    <t>Страхование пенсий</t>
  </si>
  <si>
    <t>Услуги банка</t>
  </si>
  <si>
    <t>Услуги автотранспортных организаций</t>
  </si>
  <si>
    <t>Обязательное страхование  гражданской ответственности</t>
  </si>
  <si>
    <t>Прочие расходы</t>
  </si>
  <si>
    <t>Заработная плата основного персонала</t>
  </si>
  <si>
    <t>Расчет процента общепроизводственных расходов</t>
  </si>
  <si>
    <t>тыс. руб</t>
  </si>
  <si>
    <t>Заработная плата аппарата управления</t>
  </si>
  <si>
    <t>Текущий ремонт зданий</t>
  </si>
  <si>
    <t>Амортизация зданий, сооружений, прочих основных средств</t>
  </si>
  <si>
    <t>Содержание зданий (дератизация, вывоз мусора, моющие средства т.п.)</t>
  </si>
  <si>
    <t>Электроэнергия и теплоэнергия на отопление и освещение</t>
  </si>
  <si>
    <t>Услуги связи</t>
  </si>
  <si>
    <t>Канцелярские и почтово-телеграфные расходы</t>
  </si>
  <si>
    <t>Командировочные расходы</t>
  </si>
  <si>
    <t>Спецпитание</t>
  </si>
  <si>
    <t>Расходы на охрану труда и технику безопасности</t>
  </si>
  <si>
    <t>Услуги сторожевой и пожарной охраны</t>
  </si>
  <si>
    <t>Информационные услуги</t>
  </si>
  <si>
    <t>Консультационные услуги</t>
  </si>
  <si>
    <t>Содержание служебного легкового автотранспорта</t>
  </si>
  <si>
    <t>Расчет процента общехозяйственных расходов</t>
  </si>
  <si>
    <t>План на расчетный период</t>
  </si>
  <si>
    <t>процента общехозяйственных расходов</t>
  </si>
  <si>
    <t>Смазочные материалы</t>
  </si>
  <si>
    <t>Смазочные материалы, руб.</t>
  </si>
  <si>
    <t>Цена топлива, руб</t>
  </si>
  <si>
    <t xml:space="preserve">Н-80 </t>
  </si>
  <si>
    <t xml:space="preserve">Д/т </t>
  </si>
  <si>
    <t>Наименование группы</t>
  </si>
  <si>
    <t>Группы автотранспорта</t>
  </si>
  <si>
    <t>Расчет амортизационных отчислений</t>
  </si>
  <si>
    <t>6765 АА-5</t>
  </si>
  <si>
    <t>5642 ВВ-5</t>
  </si>
  <si>
    <t>4455 EA-5</t>
  </si>
  <si>
    <t>4785 AX-5</t>
  </si>
  <si>
    <t>2210 KK-5</t>
  </si>
  <si>
    <t xml:space="preserve">Обязательные отчисления в ФСЗН </t>
  </si>
  <si>
    <t>Амортизация, руб.</t>
  </si>
  <si>
    <t>Годовая норма рабочего времени на 2011 год</t>
  </si>
  <si>
    <t>Среднемесячное количество часов работы в 2011 г.</t>
  </si>
  <si>
    <t>стоимости 1 машино-часа (транспортный режим) использования по группе:</t>
  </si>
  <si>
    <t>Стоимость ГСМ</t>
  </si>
  <si>
    <t>без топлива</t>
  </si>
  <si>
    <t>с топливом</t>
  </si>
  <si>
    <t xml:space="preserve">Заработная плата </t>
  </si>
  <si>
    <t>стоимости 1 машино-часа (экскавация) использования по группе:</t>
  </si>
  <si>
    <t>стоимости 1 машино-часа (погрузка) использования по группе:</t>
  </si>
  <si>
    <t>ГСМ, руб.</t>
  </si>
  <si>
    <t>Наличие пускателя</t>
  </si>
  <si>
    <t>затрат на топливо (ГСМ) по группе:</t>
  </si>
  <si>
    <t>производственной себестоимости 1 машино-часа (экскавация) по группе:</t>
  </si>
  <si>
    <t>производственной себестоимости 1 машино-часа (погрузка) по группе:</t>
  </si>
  <si>
    <t>производственной себестоимости 1 машино-часа (транспортный режим) по группе:</t>
  </si>
  <si>
    <t>Вид топлива</t>
  </si>
  <si>
    <t>Н-80 на пуск, % от Д/т</t>
  </si>
  <si>
    <t>транспортный режим</t>
  </si>
  <si>
    <t>Расход топлива на 1 м-час</t>
  </si>
  <si>
    <t>экскавация</t>
  </si>
  <si>
    <t>погрузка</t>
  </si>
  <si>
    <t>транспортный режим, руб./м-час</t>
  </si>
  <si>
    <t>экскавация, руб./м-час</t>
  </si>
  <si>
    <t>погрузка, руб./м-час</t>
  </si>
  <si>
    <t>ДТ</t>
  </si>
  <si>
    <t>Н-80</t>
  </si>
  <si>
    <t>Да</t>
  </si>
  <si>
    <t>Нет</t>
  </si>
  <si>
    <t>Норма расхода л (кг) / 100 л топлива</t>
  </si>
  <si>
    <t>Цена смазочных материалов, руб.</t>
  </si>
  <si>
    <t>моторное</t>
  </si>
  <si>
    <t>индустриальное</t>
  </si>
  <si>
    <t>пластичные смазки</t>
  </si>
  <si>
    <t>трансмис- сионное</t>
  </si>
  <si>
    <t>Стоимость смазочных материалов</t>
  </si>
  <si>
    <t>л/час</t>
  </si>
  <si>
    <t>машинист экскаватора</t>
  </si>
  <si>
    <t>Разряд</t>
  </si>
  <si>
    <t xml:space="preserve">Экскаваторы колесные одноковшовые с ковшом вместимостью до 0,10 куб.м   </t>
  </si>
  <si>
    <t xml:space="preserve">Экскаваторы колесные одноковшовые с ковшом вместимостью от 0,10 до 0,3 куб.м   </t>
  </si>
  <si>
    <t xml:space="preserve">Экскаваторы колесные одноковшовые с ковшом вместимостью свыше 0,30 куб.м   </t>
  </si>
  <si>
    <t xml:space="preserve">Экскаваторы гусеничные одноковшовые с ковшом вместимостью до 0,4 куб.м   </t>
  </si>
  <si>
    <t xml:space="preserve">Экскаваторы гусеничные одноковшовые с ковшом вместимостью от 0,4 до 1 куб.м   </t>
  </si>
  <si>
    <t xml:space="preserve">Экскаваторы колесные одноковшовые с ковшом вместимостью свыше 1 куб.м   </t>
  </si>
  <si>
    <t>Бульдозер-экскаватор ДЗ-133 ЭЦ-40 (шасси МТЗ-82.1, дв. Д-243)</t>
  </si>
  <si>
    <t xml:space="preserve">Погрузчик ТО-49 (шасси МТЗ-82, дв. Д-240) </t>
  </si>
  <si>
    <t>Погрузчик-экскаватор Caterpillar CAT-428Е (дв. CAT-3054C DIT, 72,8 kW)</t>
  </si>
  <si>
    <t>Погрузчик-экскаватор JCB 3CX SITEMASTER GP (дв. JCB444T, JCB444T1, 68 kW)</t>
  </si>
  <si>
    <t>Погрузчик-экскаватор ПЭ-82 (шасси МТЗ-82П, дв. Д-243, Д-243-486)</t>
  </si>
  <si>
    <t>Калькуляция стоимости 1 машино-часа (транспортный режим)</t>
  </si>
  <si>
    <t>Калькуляция стоимости 1 машино-часа (экскавация)</t>
  </si>
  <si>
    <t>Калькуляция стоимости 1 машино-часа (погрузка)</t>
  </si>
  <si>
    <t>Расчет производственной себестоимости 1 машино-часа (транспортный режим)</t>
  </si>
  <si>
    <t>Расчет производственной себестоимости 1 машино-часа (экскавация)</t>
  </si>
  <si>
    <t>Расчет производственной себестоимости 1 машино-часа (погрузка)</t>
  </si>
  <si>
    <t>Расчет затрат на топливо (ГСМ)</t>
  </si>
  <si>
    <t>затрат на смазочные материалы (СМ) по группе:</t>
  </si>
  <si>
    <t>Расчет затрат на смазочные материалы (СМ)</t>
  </si>
  <si>
    <t xml:space="preserve">Расчет затрат на заработную плату водителей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</si>
</sst>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%"/>
    <numFmt numFmtId="175" formatCode="0.0%"/>
    <numFmt numFmtId="176" formatCode="0.000%"/>
    <numFmt numFmtId="177" formatCode="0.0000%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9"/>
      <name val="Tahoma"/>
      <family val="2"/>
    </font>
    <font>
      <i/>
      <u val="single"/>
      <sz val="10"/>
      <name val="Tahoma"/>
      <family val="2"/>
    </font>
    <font>
      <sz val="7"/>
      <name val="Tahoma"/>
      <family val="2"/>
    </font>
    <font>
      <sz val="8"/>
      <color indexed="43"/>
      <name val="Tahoma"/>
      <family val="2"/>
    </font>
    <font>
      <i/>
      <sz val="5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11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i/>
      <u val="single"/>
      <sz val="10"/>
      <color indexed="30"/>
      <name val="Tahoma"/>
      <family val="2"/>
    </font>
    <font>
      <sz val="9"/>
      <color indexed="30"/>
      <name val="Tahoma"/>
      <family val="2"/>
    </font>
    <font>
      <sz val="7"/>
      <color indexed="3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 vertical="center"/>
      <protection hidden="1"/>
    </xf>
    <xf numFmtId="3" fontId="12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3" fontId="13" fillId="33" borderId="15" xfId="0" applyNumberFormat="1" applyFont="1" applyFill="1" applyBorder="1" applyAlignment="1" applyProtection="1">
      <alignment horizontal="center" vertical="center"/>
      <protection hidden="1"/>
    </xf>
    <xf numFmtId="10" fontId="6" fillId="32" borderId="0" xfId="0" applyNumberFormat="1" applyFont="1" applyFill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 locked="0"/>
    </xf>
    <xf numFmtId="0" fontId="2" fillId="32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10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172" fontId="15" fillId="33" borderId="0" xfId="0" applyNumberFormat="1" applyFont="1" applyFill="1" applyBorder="1" applyAlignment="1" applyProtection="1">
      <alignment horizontal="center" vertical="center"/>
      <protection hidden="1"/>
    </xf>
    <xf numFmtId="173" fontId="2" fillId="33" borderId="15" xfId="0" applyNumberFormat="1" applyFont="1" applyFill="1" applyBorder="1" applyAlignment="1" applyProtection="1">
      <alignment horizontal="center"/>
      <protection hidden="1"/>
    </xf>
    <xf numFmtId="3" fontId="9" fillId="33" borderId="0" xfId="0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174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/>
      <protection hidden="1"/>
    </xf>
    <xf numFmtId="4" fontId="2" fillId="33" borderId="15" xfId="0" applyNumberFormat="1" applyFont="1" applyFill="1" applyBorder="1" applyAlignment="1" applyProtection="1">
      <alignment horizontal="center"/>
      <protection hidden="1"/>
    </xf>
    <xf numFmtId="4" fontId="12" fillId="33" borderId="15" xfId="0" applyNumberFormat="1" applyFont="1" applyFill="1" applyBorder="1" applyAlignment="1" applyProtection="1">
      <alignment horizontal="center"/>
      <protection hidden="1"/>
    </xf>
    <xf numFmtId="176" fontId="12" fillId="33" borderId="15" xfId="0" applyNumberFormat="1" applyFont="1" applyFill="1" applyBorder="1" applyAlignment="1" applyProtection="1">
      <alignment horizontal="center"/>
      <protection hidden="1"/>
    </xf>
    <xf numFmtId="176" fontId="13" fillId="33" borderId="15" xfId="0" applyNumberFormat="1" applyFont="1" applyFill="1" applyBorder="1" applyAlignment="1" applyProtection="1">
      <alignment horizontal="center"/>
      <protection hidden="1"/>
    </xf>
    <xf numFmtId="176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34" borderId="15" xfId="0" applyFont="1" applyFill="1" applyBorder="1" applyAlignment="1" applyProtection="1">
      <alignment horizontal="center" vertical="center" wrapText="1"/>
      <protection hidden="1"/>
    </xf>
    <xf numFmtId="0" fontId="12" fillId="32" borderId="0" xfId="0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right" vertical="center"/>
      <protection hidden="1"/>
    </xf>
    <xf numFmtId="4" fontId="2" fillId="33" borderId="15" xfId="0" applyNumberFormat="1" applyFont="1" applyFill="1" applyBorder="1" applyAlignment="1" applyProtection="1">
      <alignment horizontal="center" vertical="center"/>
      <protection hidden="1"/>
    </xf>
    <xf numFmtId="4" fontId="12" fillId="33" borderId="15" xfId="0" applyNumberFormat="1" applyFont="1" applyFill="1" applyBorder="1" applyAlignment="1" applyProtection="1">
      <alignment horizontal="center" vertical="center"/>
      <protection hidden="1"/>
    </xf>
    <xf numFmtId="3" fontId="2" fillId="32" borderId="0" xfId="0" applyNumberFormat="1" applyFont="1" applyFill="1" applyAlignment="1" applyProtection="1">
      <alignment vertical="center"/>
      <protection hidden="1"/>
    </xf>
    <xf numFmtId="0" fontId="39" fillId="32" borderId="0" xfId="42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4" fontId="12" fillId="0" borderId="15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9" fontId="6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left" wrapText="1"/>
      <protection hidden="1"/>
    </xf>
    <xf numFmtId="10" fontId="12" fillId="0" borderId="15" xfId="0" applyNumberFormat="1" applyFont="1" applyFill="1" applyBorder="1" applyAlignment="1" applyProtection="1">
      <alignment horizontal="center" vertical="center"/>
      <protection hidden="1"/>
    </xf>
    <xf numFmtId="1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8" fillId="33" borderId="23" xfId="0" applyFont="1" applyFill="1" applyBorder="1" applyAlignment="1" applyProtection="1">
      <alignment horizontal="center" vertical="top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X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8.421875" style="1" customWidth="1"/>
    <col min="9" max="9" width="16.8515625" style="1" customWidth="1"/>
    <col min="10" max="10" width="13.8515625" style="1" customWidth="1"/>
    <col min="11" max="11" width="4.140625" style="1" customWidth="1"/>
    <col min="12" max="12" width="2.00390625" style="1" customWidth="1"/>
    <col min="13" max="13" width="53.57421875" style="1" customWidth="1"/>
    <col min="14" max="16384" width="9.140625" style="1" customWidth="1"/>
  </cols>
  <sheetData>
    <row r="1" spans="1:2" ht="11.25" thickBot="1">
      <c r="A1" s="1"/>
      <c r="B1" s="2" t="s">
        <v>0</v>
      </c>
    </row>
    <row r="2" spans="2:11" ht="10.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ht="10.5">
      <c r="B3" s="7"/>
      <c r="C3" s="34"/>
      <c r="D3" s="34"/>
      <c r="E3" s="34"/>
      <c r="F3" s="34"/>
      <c r="G3" s="34"/>
      <c r="H3" s="34" t="s">
        <v>7</v>
      </c>
      <c r="I3" s="34"/>
      <c r="J3" s="34"/>
      <c r="K3" s="8"/>
    </row>
    <row r="4" spans="2:11" ht="10.5">
      <c r="B4" s="7"/>
      <c r="C4" s="34"/>
      <c r="D4" s="34"/>
      <c r="E4" s="34"/>
      <c r="F4" s="34"/>
      <c r="G4" s="34"/>
      <c r="H4" s="34" t="s">
        <v>8</v>
      </c>
      <c r="I4" s="63"/>
      <c r="J4" s="34"/>
      <c r="K4" s="8"/>
    </row>
    <row r="5" spans="2:13" ht="15">
      <c r="B5" s="7"/>
      <c r="C5" s="34"/>
      <c r="D5" s="34"/>
      <c r="E5" s="34"/>
      <c r="F5" s="34"/>
      <c r="G5" s="34"/>
      <c r="H5" s="35"/>
      <c r="I5" s="34"/>
      <c r="J5" s="36" t="s">
        <v>16</v>
      </c>
      <c r="K5" s="54"/>
      <c r="M5" s="68" t="s">
        <v>175</v>
      </c>
    </row>
    <row r="6" spans="2:13" ht="15">
      <c r="B6" s="7"/>
      <c r="C6" s="34"/>
      <c r="D6" s="34"/>
      <c r="E6" s="34"/>
      <c r="F6" s="34"/>
      <c r="G6" s="34"/>
      <c r="H6" s="34" t="s">
        <v>9</v>
      </c>
      <c r="I6" s="34" t="s">
        <v>9</v>
      </c>
      <c r="J6" s="36"/>
      <c r="K6" s="54"/>
      <c r="M6" s="68" t="s">
        <v>176</v>
      </c>
    </row>
    <row r="7" spans="2:13" ht="15">
      <c r="B7" s="7"/>
      <c r="C7" s="34"/>
      <c r="D7" s="34"/>
      <c r="E7" s="34"/>
      <c r="F7" s="34"/>
      <c r="G7" s="34"/>
      <c r="H7" s="36"/>
      <c r="I7" s="36"/>
      <c r="J7" s="36"/>
      <c r="K7" s="8"/>
      <c r="M7" s="68" t="s">
        <v>177</v>
      </c>
    </row>
    <row r="8" spans="2:13" ht="15">
      <c r="B8" s="7"/>
      <c r="C8" s="80" t="s">
        <v>13</v>
      </c>
      <c r="D8" s="80"/>
      <c r="E8" s="80"/>
      <c r="F8" s="80"/>
      <c r="G8" s="80"/>
      <c r="H8" s="80"/>
      <c r="I8" s="80"/>
      <c r="J8" s="80"/>
      <c r="K8" s="8"/>
      <c r="M8" s="68" t="s">
        <v>178</v>
      </c>
    </row>
    <row r="9" spans="2:13" ht="15">
      <c r="B9" s="7"/>
      <c r="C9" s="81" t="s">
        <v>128</v>
      </c>
      <c r="D9" s="81"/>
      <c r="E9" s="81"/>
      <c r="F9" s="81"/>
      <c r="G9" s="81"/>
      <c r="H9" s="81"/>
      <c r="I9" s="81"/>
      <c r="J9" s="81"/>
      <c r="K9" s="8"/>
      <c r="M9" s="68" t="s">
        <v>179</v>
      </c>
    </row>
    <row r="10" spans="2:13" ht="26.25" customHeight="1">
      <c r="B10" s="7"/>
      <c r="C10" s="82" t="str">
        <f>'группы автотранспорта'!D6</f>
        <v>Экскаваторы колесные одноковшовые с ковшом вместимостью до 0,10 куб.м   </v>
      </c>
      <c r="D10" s="82"/>
      <c r="E10" s="82"/>
      <c r="F10" s="82"/>
      <c r="G10" s="82"/>
      <c r="H10" s="82"/>
      <c r="I10" s="82"/>
      <c r="J10" s="82"/>
      <c r="K10" s="8"/>
      <c r="M10" s="68" t="s">
        <v>180</v>
      </c>
    </row>
    <row r="11" spans="2:13" ht="15">
      <c r="B11" s="7"/>
      <c r="C11" s="9"/>
      <c r="D11" s="9"/>
      <c r="E11" s="9"/>
      <c r="F11" s="9"/>
      <c r="G11" s="9"/>
      <c r="H11" s="9"/>
      <c r="I11" s="9"/>
      <c r="J11" s="9"/>
      <c r="K11" s="8"/>
      <c r="M11" s="68" t="s">
        <v>181</v>
      </c>
    </row>
    <row r="12" spans="2:13" ht="15">
      <c r="B12" s="7"/>
      <c r="C12" s="10"/>
      <c r="D12" s="10"/>
      <c r="E12" s="10"/>
      <c r="F12" s="11"/>
      <c r="G12" s="11"/>
      <c r="H12" s="11"/>
      <c r="I12" s="11"/>
      <c r="J12" s="11"/>
      <c r="K12" s="8"/>
      <c r="M12" s="68" t="s">
        <v>183</v>
      </c>
    </row>
    <row r="13" spans="2:13" ht="15">
      <c r="B13" s="7"/>
      <c r="C13" s="91" t="s">
        <v>1</v>
      </c>
      <c r="D13" s="95" t="s">
        <v>14</v>
      </c>
      <c r="E13" s="96"/>
      <c r="F13" s="96"/>
      <c r="G13" s="97"/>
      <c r="H13" s="93" t="s">
        <v>15</v>
      </c>
      <c r="I13" s="86" t="s">
        <v>2</v>
      </c>
      <c r="J13" s="87"/>
      <c r="K13" s="8"/>
      <c r="M13" s="68" t="s">
        <v>184</v>
      </c>
    </row>
    <row r="14" spans="2:13" ht="15">
      <c r="B14" s="7"/>
      <c r="C14" s="92"/>
      <c r="D14" s="98"/>
      <c r="E14" s="99"/>
      <c r="F14" s="99"/>
      <c r="G14" s="100"/>
      <c r="H14" s="94"/>
      <c r="I14" s="13" t="s">
        <v>130</v>
      </c>
      <c r="J14" s="13" t="s">
        <v>131</v>
      </c>
      <c r="K14" s="8"/>
      <c r="M14" s="68" t="s">
        <v>118</v>
      </c>
    </row>
    <row r="15" spans="2:13" ht="12.75" customHeight="1">
      <c r="B15" s="7"/>
      <c r="C15" s="14">
        <v>1</v>
      </c>
      <c r="D15" s="83" t="s">
        <v>132</v>
      </c>
      <c r="E15" s="84"/>
      <c r="F15" s="84"/>
      <c r="G15" s="85"/>
      <c r="H15" s="38"/>
      <c r="I15" s="16">
        <f aca="true" t="shared" si="0" ref="I15:I21">J15</f>
        <v>7240</v>
      </c>
      <c r="J15" s="16">
        <f>'Себестоимость(тр.режим)'!I31</f>
        <v>7240</v>
      </c>
      <c r="K15" s="8"/>
      <c r="L15" s="67"/>
      <c r="M15" s="68" t="s">
        <v>92</v>
      </c>
    </row>
    <row r="16" spans="2:13" ht="12.75" customHeight="1">
      <c r="B16" s="7"/>
      <c r="C16" s="14">
        <v>2</v>
      </c>
      <c r="D16" s="83" t="s">
        <v>17</v>
      </c>
      <c r="E16" s="84"/>
      <c r="F16" s="84"/>
      <c r="G16" s="85"/>
      <c r="H16" s="38">
        <v>0.15</v>
      </c>
      <c r="I16" s="16">
        <f t="shared" si="0"/>
        <v>1086</v>
      </c>
      <c r="J16" s="16">
        <f>ROUND(J15*H16,0)</f>
        <v>1086</v>
      </c>
      <c r="K16" s="8"/>
      <c r="L16" s="67"/>
      <c r="M16" s="68" t="s">
        <v>108</v>
      </c>
    </row>
    <row r="17" spans="2:13" ht="12.75" customHeight="1">
      <c r="B17" s="7"/>
      <c r="C17" s="14">
        <v>3</v>
      </c>
      <c r="D17" s="83" t="s">
        <v>18</v>
      </c>
      <c r="E17" s="84"/>
      <c r="F17" s="84"/>
      <c r="G17" s="85"/>
      <c r="H17" s="38">
        <v>0.34</v>
      </c>
      <c r="I17" s="16">
        <f t="shared" si="0"/>
        <v>2831</v>
      </c>
      <c r="J17" s="16">
        <f>ROUND(((J15+J16)*H17),0)</f>
        <v>2831</v>
      </c>
      <c r="K17" s="8"/>
      <c r="L17" s="67"/>
      <c r="M17" s="68" t="s">
        <v>117</v>
      </c>
    </row>
    <row r="18" spans="2:12" ht="12.75" customHeight="1">
      <c r="B18" s="7"/>
      <c r="C18" s="14">
        <v>4</v>
      </c>
      <c r="D18" s="83" t="s">
        <v>19</v>
      </c>
      <c r="E18" s="84"/>
      <c r="F18" s="84"/>
      <c r="G18" s="85"/>
      <c r="H18" s="38">
        <v>0.006</v>
      </c>
      <c r="I18" s="16">
        <f t="shared" si="0"/>
        <v>50</v>
      </c>
      <c r="J18" s="16">
        <f>ROUND(((J15+J16)*H18),0)</f>
        <v>50</v>
      </c>
      <c r="K18" s="8"/>
      <c r="L18" s="67"/>
    </row>
    <row r="19" spans="2:12" ht="12.75" customHeight="1">
      <c r="B19" s="7"/>
      <c r="C19" s="14">
        <v>5</v>
      </c>
      <c r="D19" s="83" t="s">
        <v>21</v>
      </c>
      <c r="E19" s="84"/>
      <c r="F19" s="84"/>
      <c r="G19" s="85"/>
      <c r="H19" s="78">
        <v>0.5143</v>
      </c>
      <c r="I19" s="16">
        <f t="shared" si="0"/>
        <v>3724</v>
      </c>
      <c r="J19" s="16">
        <f>ROUND(J15*H19,0)</f>
        <v>3724</v>
      </c>
      <c r="K19" s="8"/>
      <c r="L19" s="67"/>
    </row>
    <row r="20" spans="2:12" ht="12.75" customHeight="1">
      <c r="B20" s="7"/>
      <c r="C20" s="14">
        <v>6</v>
      </c>
      <c r="D20" s="83" t="s">
        <v>22</v>
      </c>
      <c r="E20" s="84"/>
      <c r="F20" s="84"/>
      <c r="G20" s="85"/>
      <c r="H20" s="60">
        <v>0.4077</v>
      </c>
      <c r="I20" s="16">
        <f t="shared" si="0"/>
        <v>2952</v>
      </c>
      <c r="J20" s="16">
        <f>ROUND(J15*H20,0)</f>
        <v>2952</v>
      </c>
      <c r="K20" s="8"/>
      <c r="L20" s="67"/>
    </row>
    <row r="21" spans="2:12" ht="12.75" customHeight="1">
      <c r="B21" s="7"/>
      <c r="C21" s="14">
        <v>7</v>
      </c>
      <c r="D21" s="83" t="s">
        <v>20</v>
      </c>
      <c r="E21" s="84"/>
      <c r="F21" s="84"/>
      <c r="G21" s="85"/>
      <c r="H21" s="60"/>
      <c r="I21" s="16">
        <f t="shared" si="0"/>
        <v>4982</v>
      </c>
      <c r="J21" s="50">
        <f>'Себестоимость(тр.режим)'!M31</f>
        <v>4982</v>
      </c>
      <c r="K21" s="8"/>
      <c r="L21" s="67"/>
    </row>
    <row r="22" spans="2:12" ht="12.75" customHeight="1">
      <c r="B22" s="7"/>
      <c r="C22" s="14">
        <v>8</v>
      </c>
      <c r="D22" s="83" t="s">
        <v>129</v>
      </c>
      <c r="E22" s="84"/>
      <c r="F22" s="84"/>
      <c r="G22" s="85"/>
      <c r="H22" s="79"/>
      <c r="I22" s="15">
        <v>0</v>
      </c>
      <c r="J22" s="50">
        <f>'Себестоимость(тр.режим)'!G31</f>
        <v>21261</v>
      </c>
      <c r="K22" s="8"/>
      <c r="L22" s="67"/>
    </row>
    <row r="23" spans="2:12" ht="12.75" customHeight="1">
      <c r="B23" s="7"/>
      <c r="C23" s="14">
        <v>9</v>
      </c>
      <c r="D23" s="83" t="s">
        <v>111</v>
      </c>
      <c r="E23" s="84"/>
      <c r="F23" s="84"/>
      <c r="G23" s="85"/>
      <c r="H23" s="79"/>
      <c r="I23" s="16">
        <f>J23</f>
        <v>1424</v>
      </c>
      <c r="J23" s="50">
        <f>'Себестоимость(тр.режим)'!H31</f>
        <v>1424</v>
      </c>
      <c r="K23" s="8"/>
      <c r="L23" s="67"/>
    </row>
    <row r="24" spans="2:12" ht="12.75" customHeight="1">
      <c r="B24" s="7"/>
      <c r="C24" s="14">
        <v>11</v>
      </c>
      <c r="D24" s="83" t="s">
        <v>23</v>
      </c>
      <c r="E24" s="84"/>
      <c r="F24" s="84"/>
      <c r="G24" s="85"/>
      <c r="H24" s="79"/>
      <c r="I24" s="16">
        <f>SUM(I15:I23)</f>
        <v>24289</v>
      </c>
      <c r="J24" s="16">
        <f>SUM(J15:J23)</f>
        <v>45550</v>
      </c>
      <c r="K24" s="8"/>
      <c r="L24" s="67"/>
    </row>
    <row r="25" spans="2:12" ht="12.75" customHeight="1">
      <c r="B25" s="7"/>
      <c r="C25" s="14">
        <v>12</v>
      </c>
      <c r="D25" s="83" t="s">
        <v>24</v>
      </c>
      <c r="E25" s="84"/>
      <c r="F25" s="84"/>
      <c r="G25" s="85"/>
      <c r="H25" s="79">
        <v>0.0025</v>
      </c>
      <c r="I25" s="16">
        <f>J25</f>
        <v>114</v>
      </c>
      <c r="J25" s="16">
        <f>ROUND(J24*H25,0)</f>
        <v>114</v>
      </c>
      <c r="K25" s="8"/>
      <c r="L25" s="67"/>
    </row>
    <row r="26" spans="2:12" ht="12.75" customHeight="1">
      <c r="B26" s="7"/>
      <c r="C26" s="14">
        <v>13</v>
      </c>
      <c r="D26" s="83" t="s">
        <v>25</v>
      </c>
      <c r="E26" s="84"/>
      <c r="F26" s="84"/>
      <c r="G26" s="85"/>
      <c r="H26" s="79"/>
      <c r="I26" s="16">
        <f>I24+I25</f>
        <v>24403</v>
      </c>
      <c r="J26" s="16">
        <f>J24+J25</f>
        <v>45664</v>
      </c>
      <c r="K26" s="8"/>
      <c r="L26" s="67"/>
    </row>
    <row r="27" spans="2:12" ht="12.75" customHeight="1">
      <c r="B27" s="7"/>
      <c r="C27" s="14">
        <v>14</v>
      </c>
      <c r="D27" s="83" t="s">
        <v>26</v>
      </c>
      <c r="E27" s="84"/>
      <c r="F27" s="84"/>
      <c r="G27" s="85"/>
      <c r="H27" s="79">
        <v>0.23</v>
      </c>
      <c r="I27" s="16">
        <f>ROUND(I26*H27,0)</f>
        <v>5613</v>
      </c>
      <c r="J27" s="16">
        <f>ROUND(J26*H27,0)</f>
        <v>10503</v>
      </c>
      <c r="K27" s="8"/>
      <c r="L27" s="67"/>
    </row>
    <row r="28" spans="2:12" ht="12.75" customHeight="1">
      <c r="B28" s="7"/>
      <c r="C28" s="14">
        <v>15</v>
      </c>
      <c r="D28" s="83" t="s">
        <v>27</v>
      </c>
      <c r="E28" s="84"/>
      <c r="F28" s="84"/>
      <c r="G28" s="85"/>
      <c r="H28" s="79"/>
      <c r="I28" s="16">
        <f>I26+I27</f>
        <v>30016</v>
      </c>
      <c r="J28" s="16">
        <f>J26+J27</f>
        <v>56167</v>
      </c>
      <c r="K28" s="8"/>
      <c r="L28" s="67"/>
    </row>
    <row r="29" spans="2:12" ht="12.75" customHeight="1">
      <c r="B29" s="7"/>
      <c r="C29" s="14">
        <v>16</v>
      </c>
      <c r="D29" s="83" t="s">
        <v>28</v>
      </c>
      <c r="E29" s="84"/>
      <c r="F29" s="84"/>
      <c r="G29" s="85"/>
      <c r="H29" s="79">
        <v>0.2</v>
      </c>
      <c r="I29" s="16">
        <f>ROUND(I28*H29,0)</f>
        <v>6003</v>
      </c>
      <c r="J29" s="16">
        <f>ROUND(J28*H29,0)</f>
        <v>11233</v>
      </c>
      <c r="K29" s="8"/>
      <c r="L29" s="67"/>
    </row>
    <row r="30" spans="2:12" ht="12.75" customHeight="1">
      <c r="B30" s="7"/>
      <c r="C30" s="14">
        <v>17</v>
      </c>
      <c r="D30" s="83" t="s">
        <v>29</v>
      </c>
      <c r="E30" s="84"/>
      <c r="F30" s="84"/>
      <c r="G30" s="85"/>
      <c r="H30" s="79"/>
      <c r="I30" s="18">
        <f>I28+I29</f>
        <v>36019</v>
      </c>
      <c r="J30" s="18">
        <f>J28+J29</f>
        <v>67400</v>
      </c>
      <c r="K30" s="8"/>
      <c r="L30" s="67"/>
    </row>
    <row r="31" spans="2:12" ht="10.5">
      <c r="B31" s="7"/>
      <c r="C31" s="10"/>
      <c r="D31" s="10"/>
      <c r="E31" s="10"/>
      <c r="F31" s="11"/>
      <c r="G31" s="11"/>
      <c r="H31" s="11"/>
      <c r="I31" s="11"/>
      <c r="J31" s="11"/>
      <c r="K31" s="8"/>
      <c r="L31" s="67"/>
    </row>
    <row r="32" spans="2:11" ht="10.5">
      <c r="B32" s="7"/>
      <c r="C32" s="10"/>
      <c r="D32" s="10"/>
      <c r="E32" s="10"/>
      <c r="F32" s="11"/>
      <c r="G32" s="11"/>
      <c r="H32" s="11"/>
      <c r="I32" s="11"/>
      <c r="J32" s="11"/>
      <c r="K32" s="8"/>
    </row>
    <row r="33" spans="2:11" ht="10.5">
      <c r="B33" s="7"/>
      <c r="C33" s="10" t="s">
        <v>5</v>
      </c>
      <c r="D33" s="10"/>
      <c r="E33" s="89"/>
      <c r="F33" s="89"/>
      <c r="G33" s="90" t="s">
        <v>11</v>
      </c>
      <c r="H33" s="90"/>
      <c r="I33" s="72"/>
      <c r="J33" s="11"/>
      <c r="K33" s="8"/>
    </row>
    <row r="34" spans="2:11" ht="10.5">
      <c r="B34" s="7"/>
      <c r="C34" s="10"/>
      <c r="D34" s="10"/>
      <c r="E34" s="88" t="s">
        <v>10</v>
      </c>
      <c r="F34" s="88"/>
      <c r="G34" s="64"/>
      <c r="H34" s="64"/>
      <c r="I34" s="64"/>
      <c r="J34" s="11"/>
      <c r="K34" s="8"/>
    </row>
    <row r="35" spans="2:11" ht="10.5">
      <c r="B35" s="7"/>
      <c r="C35" s="10" t="s">
        <v>6</v>
      </c>
      <c r="D35" s="10"/>
      <c r="E35" s="89"/>
      <c r="F35" s="89"/>
      <c r="G35" s="90" t="s">
        <v>12</v>
      </c>
      <c r="H35" s="90"/>
      <c r="I35" s="72"/>
      <c r="J35" s="11"/>
      <c r="K35" s="8"/>
    </row>
    <row r="36" spans="2:11" ht="10.5">
      <c r="B36" s="7"/>
      <c r="C36" s="10"/>
      <c r="D36" s="10"/>
      <c r="E36" s="88" t="s">
        <v>10</v>
      </c>
      <c r="F36" s="88"/>
      <c r="G36" s="11"/>
      <c r="H36" s="11"/>
      <c r="I36" s="11"/>
      <c r="J36" s="11"/>
      <c r="K36" s="8"/>
    </row>
    <row r="37" spans="2:11" ht="10.5">
      <c r="B37" s="7"/>
      <c r="C37" s="10"/>
      <c r="D37" s="10"/>
      <c r="E37" s="10"/>
      <c r="F37" s="11"/>
      <c r="G37" s="11"/>
      <c r="H37" s="11"/>
      <c r="I37" s="11"/>
      <c r="J37" s="11"/>
      <c r="K37" s="8"/>
    </row>
    <row r="38" spans="2:11" ht="10.5">
      <c r="B38" s="7"/>
      <c r="C38" s="10"/>
      <c r="D38" s="10"/>
      <c r="E38" s="10"/>
      <c r="F38" s="11"/>
      <c r="G38" s="11"/>
      <c r="H38" s="11"/>
      <c r="I38" s="11"/>
      <c r="J38" s="11"/>
      <c r="K38" s="8"/>
    </row>
    <row r="39" spans="1:50" s="23" customFormat="1" ht="10.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2:50" ht="11.25" thickBot="1">
      <c r="B40" s="25"/>
      <c r="C40" s="26"/>
      <c r="D40" s="26"/>
      <c r="E40" s="26"/>
      <c r="F40" s="26"/>
      <c r="G40" s="26"/>
      <c r="H40" s="26"/>
      <c r="I40" s="26"/>
      <c r="J40" s="26"/>
      <c r="K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4:50" ht="10.5"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4:50" ht="10.5">
      <c r="N42" s="2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30"/>
      <c r="AK47" s="30"/>
      <c r="AL47" s="30"/>
      <c r="AM47" s="30"/>
      <c r="AN47" s="30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3:50" ht="10.5">
      <c r="C48" s="31"/>
      <c r="D48" s="31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  <c r="AJ48" s="30"/>
      <c r="AK48" s="30"/>
      <c r="AL48" s="30"/>
      <c r="AM48" s="30"/>
      <c r="AN48" s="30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3:50" ht="10.5">
      <c r="C49" s="31"/>
      <c r="D49" s="31"/>
      <c r="N49" s="28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3:50" ht="10.5">
      <c r="C50" s="31"/>
      <c r="D50" s="31"/>
      <c r="N50" s="28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50" ht="10.5">
      <c r="C53" s="31"/>
      <c r="D53" s="31"/>
      <c r="N53" s="28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3:50" ht="10.5">
      <c r="C54" s="31"/>
      <c r="D54" s="31"/>
      <c r="N54" s="28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3:4" ht="10.5">
      <c r="C55" s="31"/>
      <c r="D55" s="31"/>
    </row>
  </sheetData>
  <sheetProtection/>
  <mergeCells count="29">
    <mergeCell ref="E36:F36"/>
    <mergeCell ref="E33:F33"/>
    <mergeCell ref="G33:H33"/>
    <mergeCell ref="C13:C14"/>
    <mergeCell ref="H13:H14"/>
    <mergeCell ref="D13:G14"/>
    <mergeCell ref="D23:G23"/>
    <mergeCell ref="D29:G29"/>
    <mergeCell ref="D15:G15"/>
    <mergeCell ref="D16:G16"/>
    <mergeCell ref="D27:G27"/>
    <mergeCell ref="D28:G28"/>
    <mergeCell ref="D30:G30"/>
    <mergeCell ref="E34:F34"/>
    <mergeCell ref="E35:F35"/>
    <mergeCell ref="G35:H35"/>
    <mergeCell ref="D22:G22"/>
    <mergeCell ref="D24:G24"/>
    <mergeCell ref="D19:G19"/>
    <mergeCell ref="D20:G20"/>
    <mergeCell ref="D25:G25"/>
    <mergeCell ref="D26:G26"/>
    <mergeCell ref="C8:J8"/>
    <mergeCell ref="C9:J9"/>
    <mergeCell ref="C10:J10"/>
    <mergeCell ref="D21:G21"/>
    <mergeCell ref="I13:J13"/>
    <mergeCell ref="D17:G17"/>
    <mergeCell ref="D18:G18"/>
  </mergeCells>
  <hyperlinks>
    <hyperlink ref="M5" location="'Калькуляция (тр.режим)'!A1" display="Калькуляция стоимости 1 машино-часа (транспортный режим)"/>
    <hyperlink ref="M6" location="'Калькуляция(экскавация)'!A1" display="Калькуляция стоимости 1 машино-часа (транспортный режим)"/>
    <hyperlink ref="M7" location="'Калькуляция(погрузка)'!A1" display="Калькуляция стоимости 1 машино-часа (погрузка)"/>
    <hyperlink ref="M8" location="'Себестоимость(тр.режим)'!A1" display="Расчет производственной себестоимости 1 машино-часа (транспортный режим)"/>
    <hyperlink ref="M9" location="'Себестоимость(экскавация)'!A1" display="Расчет производственной себестоимости 1 машино-часа (экскавация)"/>
    <hyperlink ref="M10" location="'Себестоимость(погрузка)'!A1" display="Расчет производственной себестоимости 1 машино-часа (погрузка)"/>
    <hyperlink ref="M11" location="ГСМ!A1" display="Расчет затрат на топливо (ГСМ)"/>
    <hyperlink ref="M12" location="СМ!A1" display="Расчет затрат на смазочные материалы (СМ)"/>
    <hyperlink ref="M13" location="ЗП!A1" display="Расчет затрат на заработную плату водителей "/>
    <hyperlink ref="M14" location="амортизация!A1" display="Расчет амортизационных отчислений"/>
    <hyperlink ref="M15" location="'расчет % ОПР'!A1" display="Расчет процента общепроизводственных расходов"/>
    <hyperlink ref="M16" location="'расчет % ОХР'!A1" display="Расчет процента общехозяйственных расходов"/>
    <hyperlink ref="M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Y47"/>
  <sheetViews>
    <sheetView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2.28125" style="1" customWidth="1"/>
    <col min="3" max="3" width="3.421875" style="1" customWidth="1"/>
    <col min="4" max="4" width="23.57421875" style="1" customWidth="1"/>
    <col min="5" max="5" width="8.7109375" style="1" customWidth="1"/>
    <col min="6" max="6" width="10.421875" style="1" customWidth="1"/>
    <col min="7" max="7" width="8.8515625" style="1" customWidth="1"/>
    <col min="8" max="8" width="10.8515625" style="1" bestFit="1" customWidth="1"/>
    <col min="9" max="9" width="9.8515625" style="1" customWidth="1"/>
    <col min="10" max="10" width="9.421875" style="1" customWidth="1"/>
    <col min="11" max="11" width="2.140625" style="1" customWidth="1"/>
    <col min="12" max="12" width="1.8515625" style="1" customWidth="1"/>
    <col min="13" max="13" width="53.57421875" style="1" customWidth="1"/>
    <col min="14" max="16384" width="9.140625" style="1" customWidth="1"/>
  </cols>
  <sheetData>
    <row r="1" spans="1:2" ht="11.25" thickBot="1">
      <c r="A1" s="1"/>
      <c r="B1" s="2" t="s">
        <v>0</v>
      </c>
    </row>
    <row r="2" spans="2:11" ht="10.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ht="10.5">
      <c r="B3" s="7"/>
      <c r="C3" s="34"/>
      <c r="D3" s="34"/>
      <c r="E3" s="34"/>
      <c r="F3" s="34"/>
      <c r="G3" s="34"/>
      <c r="H3" s="34"/>
      <c r="I3" s="34"/>
      <c r="J3" s="34"/>
      <c r="K3" s="8"/>
    </row>
    <row r="4" spans="2:11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"/>
    </row>
    <row r="5" spans="2:13" ht="15">
      <c r="B5" s="7"/>
      <c r="C5" s="81" t="s">
        <v>63</v>
      </c>
      <c r="D5" s="81"/>
      <c r="E5" s="81"/>
      <c r="F5" s="81"/>
      <c r="G5" s="81"/>
      <c r="H5" s="81"/>
      <c r="I5" s="81"/>
      <c r="J5" s="81"/>
      <c r="K5" s="8"/>
      <c r="M5" s="68" t="s">
        <v>175</v>
      </c>
    </row>
    <row r="6" spans="2:13" ht="24.75" customHeight="1">
      <c r="B6" s="7"/>
      <c r="C6" s="82" t="str">
        <f>'Калькуляция (тр.режим)'!C10:J10</f>
        <v>Экскаваторы колесные одноковшовые с ковшом вместимостью до 0,10 куб.м   </v>
      </c>
      <c r="D6" s="82"/>
      <c r="E6" s="82"/>
      <c r="F6" s="82"/>
      <c r="G6" s="82"/>
      <c r="H6" s="82"/>
      <c r="I6" s="82"/>
      <c r="J6" s="82"/>
      <c r="K6" s="8"/>
      <c r="M6" s="68" t="s">
        <v>176</v>
      </c>
    </row>
    <row r="7" spans="2:13" ht="15">
      <c r="B7" s="7"/>
      <c r="C7" s="9"/>
      <c r="D7" s="9"/>
      <c r="E7" s="9"/>
      <c r="F7" s="9"/>
      <c r="G7" s="9"/>
      <c r="H7" s="9"/>
      <c r="I7" s="9"/>
      <c r="J7" s="9"/>
      <c r="K7" s="8"/>
      <c r="M7" s="68" t="s">
        <v>177</v>
      </c>
    </row>
    <row r="8" spans="2:13" ht="15">
      <c r="B8" s="7"/>
      <c r="C8" s="10"/>
      <c r="D8" s="10"/>
      <c r="E8" s="10"/>
      <c r="F8" s="10"/>
      <c r="G8" s="10"/>
      <c r="H8" s="10"/>
      <c r="I8" s="10"/>
      <c r="J8" s="10"/>
      <c r="K8" s="8"/>
      <c r="M8" s="68" t="s">
        <v>178</v>
      </c>
    </row>
    <row r="9" spans="2:13" ht="45">
      <c r="B9" s="7"/>
      <c r="C9" s="41" t="s">
        <v>1</v>
      </c>
      <c r="D9" s="41" t="s">
        <v>31</v>
      </c>
      <c r="E9" s="41" t="s">
        <v>32</v>
      </c>
      <c r="F9" s="41" t="s">
        <v>34</v>
      </c>
      <c r="G9" s="41" t="s">
        <v>66</v>
      </c>
      <c r="H9" s="41" t="s">
        <v>65</v>
      </c>
      <c r="I9" s="41" t="s">
        <v>67</v>
      </c>
      <c r="J9" s="41" t="s">
        <v>64</v>
      </c>
      <c r="K9" s="8"/>
      <c r="M9" s="68" t="s">
        <v>179</v>
      </c>
    </row>
    <row r="10" spans="2:13" ht="31.5">
      <c r="B10" s="7"/>
      <c r="C10" s="14">
        <v>1</v>
      </c>
      <c r="D10" s="77" t="str">
        <f>'Себестоимость(тр.режим)'!D10</f>
        <v>Бульдозер-экскаватор ДЗ-133 ЭЦ-40 (шасси МТЗ-82.1, дв. Д-243)</v>
      </c>
      <c r="E10" s="42" t="str">
        <f>'Себестоимость(тр.режим)'!E10</f>
        <v>6765 АА-5</v>
      </c>
      <c r="F10" s="42" t="str">
        <f>'Себестоимость(тр.режим)'!F10</f>
        <v>Трансп. цех</v>
      </c>
      <c r="G10" s="52">
        <v>45000000</v>
      </c>
      <c r="H10" s="53">
        <v>0.02083333</v>
      </c>
      <c r="I10" s="16">
        <f>ROUND(H10*G10,0)</f>
        <v>937500</v>
      </c>
      <c r="J10" s="16">
        <f>ROUND(I10/ЗП!$H$9,0)</f>
        <v>5521</v>
      </c>
      <c r="K10" s="8"/>
      <c r="M10" s="68" t="s">
        <v>180</v>
      </c>
    </row>
    <row r="11" spans="2:13" ht="31.5">
      <c r="B11" s="7"/>
      <c r="C11" s="14">
        <f>C10+1</f>
        <v>2</v>
      </c>
      <c r="D11" s="77" t="str">
        <f>IF('Себестоимость(тр.режим)'!D11=0,"-",'Себестоимость(тр.режим)'!D11)</f>
        <v>Погрузчик-экскаватор Caterpillar CAT-428Е (дв. CAT-3054C DIT, 72,8 kW)</v>
      </c>
      <c r="E11" s="42" t="str">
        <f>IF('Себестоимость(тр.режим)'!E11=0,"-",'Себестоимость(тр.режим)'!E11)</f>
        <v>5642 ВВ-5</v>
      </c>
      <c r="F11" s="42" t="str">
        <f>IF('Себестоимость(тр.режим)'!F11=0,"-",'Себестоимость(тр.режим)'!F11)</f>
        <v>Трансп. цех</v>
      </c>
      <c r="G11" s="52">
        <v>33000000</v>
      </c>
      <c r="H11" s="53">
        <v>0.0206445</v>
      </c>
      <c r="I11" s="16">
        <f aca="true" t="shared" si="0" ref="I11:I30">IF(D11="-","-",ROUND(H11*G11,0))</f>
        <v>681269</v>
      </c>
      <c r="J11" s="16">
        <f>IF(D11="-","-",ROUND(I11/ЗП!$H$9,0))</f>
        <v>4012</v>
      </c>
      <c r="K11" s="8"/>
      <c r="M11" s="68" t="s">
        <v>181</v>
      </c>
    </row>
    <row r="12" spans="2:13" ht="21">
      <c r="B12" s="7"/>
      <c r="C12" s="14">
        <f aca="true" t="shared" si="1" ref="C12:C30">C11+1</f>
        <v>3</v>
      </c>
      <c r="D12" s="77" t="str">
        <f>IF('Себестоимость(тр.режим)'!D12=0,"-",'Себестоимость(тр.режим)'!D12)</f>
        <v>Погрузчик ТО-49 (шасси МТЗ-82, дв. Д-240) </v>
      </c>
      <c r="E12" s="42" t="str">
        <f>IF('Себестоимость(тр.режим)'!E12=0,"-",'Себестоимость(тр.режим)'!E12)</f>
        <v>4455 EA-5</v>
      </c>
      <c r="F12" s="42" t="str">
        <f>IF('Себестоимость(тр.режим)'!F12=0,"-",'Себестоимость(тр.режим)'!F12)</f>
        <v>Трансп. цех</v>
      </c>
      <c r="G12" s="52">
        <v>33000000</v>
      </c>
      <c r="H12" s="53">
        <v>0.0206445</v>
      </c>
      <c r="I12" s="16">
        <f t="shared" si="0"/>
        <v>681269</v>
      </c>
      <c r="J12" s="16">
        <f>IF(D12="-","-",ROUND(I12/ЗП!$H$9,0))</f>
        <v>4012</v>
      </c>
      <c r="K12" s="8"/>
      <c r="M12" s="68" t="s">
        <v>183</v>
      </c>
    </row>
    <row r="13" spans="2:13" ht="31.5">
      <c r="B13" s="7"/>
      <c r="C13" s="14">
        <f t="shared" si="1"/>
        <v>4</v>
      </c>
      <c r="D13" s="77" t="str">
        <f>IF('Себестоимость(тр.режим)'!D13=0,"-",'Себестоимость(тр.режим)'!D13)</f>
        <v>Погрузчик-экскаватор JCB 3CX SITEMASTER GP (дв. JCB444T, JCB444T1, 68 kW)</v>
      </c>
      <c r="E13" s="42" t="str">
        <f>IF('Себестоимость(тр.режим)'!E13=0,"-",'Себестоимость(тр.режим)'!E13)</f>
        <v>4785 AX-5</v>
      </c>
      <c r="F13" s="42" t="str">
        <f>IF('Себестоимость(тр.режим)'!F13=0,"-",'Себестоимость(тр.режим)'!F13)</f>
        <v>Трансп. цех</v>
      </c>
      <c r="G13" s="52">
        <v>33000000</v>
      </c>
      <c r="H13" s="53">
        <v>0.0206445</v>
      </c>
      <c r="I13" s="16">
        <f t="shared" si="0"/>
        <v>681269</v>
      </c>
      <c r="J13" s="16">
        <f>IF(D13="-","-",ROUND(I13/ЗП!$H$9,0))</f>
        <v>4012</v>
      </c>
      <c r="K13" s="8"/>
      <c r="M13" s="68" t="s">
        <v>184</v>
      </c>
    </row>
    <row r="14" spans="2:13" ht="31.5">
      <c r="B14" s="7"/>
      <c r="C14" s="14">
        <f t="shared" si="1"/>
        <v>5</v>
      </c>
      <c r="D14" s="77" t="str">
        <f>IF('Себестоимость(тр.режим)'!D14=0,"-",'Себестоимость(тр.режим)'!D14)</f>
        <v>Погрузчик-экскаватор ПЭ-82 (шасси МТЗ-82П, дв. Д-243, Д-243-486)</v>
      </c>
      <c r="E14" s="42" t="str">
        <f>IF('Себестоимость(тр.режим)'!E14=0,"-",'Себестоимость(тр.режим)'!E14)</f>
        <v>2210 KK-5</v>
      </c>
      <c r="F14" s="42" t="str">
        <f>IF('Себестоимость(тр.режим)'!F14=0,"-",'Себестоимость(тр.режим)'!F14)</f>
        <v>Трансп. цех</v>
      </c>
      <c r="G14" s="52">
        <v>38000000</v>
      </c>
      <c r="H14" s="53">
        <v>0.03284587</v>
      </c>
      <c r="I14" s="16">
        <f t="shared" si="0"/>
        <v>1248143</v>
      </c>
      <c r="J14" s="16">
        <f>IF(D14="-","-",ROUND(I14/ЗП!$H$9,0))</f>
        <v>7351</v>
      </c>
      <c r="K14" s="8"/>
      <c r="M14" s="68" t="s">
        <v>118</v>
      </c>
    </row>
    <row r="15" spans="2:13" ht="15">
      <c r="B15" s="7"/>
      <c r="C15" s="14">
        <f t="shared" si="1"/>
        <v>6</v>
      </c>
      <c r="D15" s="77" t="str">
        <f>IF('Себестоимость(тр.режим)'!D15=0,"-",'Себестоимость(тр.режим)'!D15)</f>
        <v>-</v>
      </c>
      <c r="E15" s="42" t="str">
        <f>IF('Себестоимость(тр.режим)'!E15=0,"-",'Себестоимость(тр.режим)'!E15)</f>
        <v>-</v>
      </c>
      <c r="F15" s="42" t="str">
        <f>IF('Себестоимость(тр.режим)'!F15=0,"-",'Себестоимость(тр.режим)'!F15)</f>
        <v>-</v>
      </c>
      <c r="G15" s="52"/>
      <c r="H15" s="53"/>
      <c r="I15" s="16" t="str">
        <f t="shared" si="0"/>
        <v>-</v>
      </c>
      <c r="J15" s="16" t="str">
        <f>IF(D15="-","-",ROUND(I15/ЗП!$H$9,0))</f>
        <v>-</v>
      </c>
      <c r="K15" s="8"/>
      <c r="M15" s="68" t="s">
        <v>92</v>
      </c>
    </row>
    <row r="16" spans="2:13" ht="15">
      <c r="B16" s="7"/>
      <c r="C16" s="14">
        <f t="shared" si="1"/>
        <v>7</v>
      </c>
      <c r="D16" s="77" t="str">
        <f>IF('Себестоимость(тр.режим)'!D16=0,"-",'Себестоимость(тр.режим)'!D16)</f>
        <v>-</v>
      </c>
      <c r="E16" s="42" t="str">
        <f>IF('Себестоимость(тр.режим)'!E16=0,"-",'Себестоимость(тр.режим)'!E16)</f>
        <v>-</v>
      </c>
      <c r="F16" s="42" t="str">
        <f>IF('Себестоимость(тр.режим)'!F16=0,"-",'Себестоимость(тр.режим)'!F16)</f>
        <v>-</v>
      </c>
      <c r="G16" s="52"/>
      <c r="H16" s="53"/>
      <c r="I16" s="16" t="str">
        <f t="shared" si="0"/>
        <v>-</v>
      </c>
      <c r="J16" s="16" t="str">
        <f>IF(D16="-","-",ROUND(I16/ЗП!$H$9,0))</f>
        <v>-</v>
      </c>
      <c r="K16" s="8"/>
      <c r="M16" s="68" t="s">
        <v>108</v>
      </c>
    </row>
    <row r="17" spans="2:13" ht="15">
      <c r="B17" s="7"/>
      <c r="C17" s="14">
        <f t="shared" si="1"/>
        <v>8</v>
      </c>
      <c r="D17" s="77" t="str">
        <f>IF('Себестоимость(тр.режим)'!D17=0,"-",'Себестоимость(тр.режим)'!D17)</f>
        <v>-</v>
      </c>
      <c r="E17" s="42" t="str">
        <f>IF('Себестоимость(тр.режим)'!E17=0,"-",'Себестоимость(тр.режим)'!E17)</f>
        <v>-</v>
      </c>
      <c r="F17" s="42" t="str">
        <f>IF('Себестоимость(тр.режим)'!F17=0,"-",'Себестоимость(тр.режим)'!F17)</f>
        <v>-</v>
      </c>
      <c r="G17" s="52"/>
      <c r="H17" s="53"/>
      <c r="I17" s="16" t="str">
        <f t="shared" si="0"/>
        <v>-</v>
      </c>
      <c r="J17" s="16" t="str">
        <f>IF(D17="-","-",ROUND(I17/ЗП!$H$9,0))</f>
        <v>-</v>
      </c>
      <c r="K17" s="8"/>
      <c r="M17" s="68" t="s">
        <v>117</v>
      </c>
    </row>
    <row r="18" spans="2:11" ht="10.5">
      <c r="B18" s="7"/>
      <c r="C18" s="14">
        <f t="shared" si="1"/>
        <v>9</v>
      </c>
      <c r="D18" s="77" t="str">
        <f>IF('Себестоимость(тр.режим)'!D18=0,"-",'Себестоимость(тр.режим)'!D18)</f>
        <v>-</v>
      </c>
      <c r="E18" s="42" t="str">
        <f>IF('Себестоимость(тр.режим)'!E18=0,"-",'Себестоимость(тр.режим)'!E18)</f>
        <v>-</v>
      </c>
      <c r="F18" s="42" t="str">
        <f>IF('Себестоимость(тр.режим)'!F18=0,"-",'Себестоимость(тр.режим)'!F18)</f>
        <v>-</v>
      </c>
      <c r="G18" s="52"/>
      <c r="H18" s="53"/>
      <c r="I18" s="16" t="str">
        <f t="shared" si="0"/>
        <v>-</v>
      </c>
      <c r="J18" s="16" t="str">
        <f>IF(D18="-","-",ROUND(I18/ЗП!$H$9,0))</f>
        <v>-</v>
      </c>
      <c r="K18" s="8"/>
    </row>
    <row r="19" spans="2:11" ht="10.5">
      <c r="B19" s="7"/>
      <c r="C19" s="14">
        <f t="shared" si="1"/>
        <v>10</v>
      </c>
      <c r="D19" s="77" t="str">
        <f>IF('Себестоимость(тр.режим)'!D19=0,"-",'Себестоимость(тр.режим)'!D19)</f>
        <v>-</v>
      </c>
      <c r="E19" s="42" t="str">
        <f>IF('Себестоимость(тр.режим)'!E19=0,"-",'Себестоимость(тр.режим)'!E19)</f>
        <v>-</v>
      </c>
      <c r="F19" s="42" t="str">
        <f>IF('Себестоимость(тр.режим)'!F19=0,"-",'Себестоимость(тр.режим)'!F19)</f>
        <v>-</v>
      </c>
      <c r="G19" s="52"/>
      <c r="H19" s="53"/>
      <c r="I19" s="16" t="str">
        <f t="shared" si="0"/>
        <v>-</v>
      </c>
      <c r="J19" s="16" t="str">
        <f>IF(D19="-","-",ROUND(I19/ЗП!$H$9,0))</f>
        <v>-</v>
      </c>
      <c r="K19" s="8"/>
    </row>
    <row r="20" spans="2:11" ht="10.5">
      <c r="B20" s="7"/>
      <c r="C20" s="14">
        <f t="shared" si="1"/>
        <v>11</v>
      </c>
      <c r="D20" s="77" t="str">
        <f>IF('Себестоимость(тр.режим)'!D20=0,"-",'Себестоимость(тр.режим)'!D20)</f>
        <v>-</v>
      </c>
      <c r="E20" s="42" t="str">
        <f>IF('Себестоимость(тр.режим)'!E20=0,"-",'Себестоимость(тр.режим)'!E20)</f>
        <v>-</v>
      </c>
      <c r="F20" s="42" t="str">
        <f>IF('Себестоимость(тр.режим)'!F20=0,"-",'Себестоимость(тр.режим)'!F20)</f>
        <v>-</v>
      </c>
      <c r="G20" s="52"/>
      <c r="H20" s="53"/>
      <c r="I20" s="16" t="str">
        <f t="shared" si="0"/>
        <v>-</v>
      </c>
      <c r="J20" s="16" t="str">
        <f>IF(D20="-","-",ROUND(I20/ЗП!$H$9,0))</f>
        <v>-</v>
      </c>
      <c r="K20" s="8"/>
    </row>
    <row r="21" spans="2:11" ht="10.5">
      <c r="B21" s="7"/>
      <c r="C21" s="14">
        <f t="shared" si="1"/>
        <v>12</v>
      </c>
      <c r="D21" s="77" t="str">
        <f>IF('Себестоимость(тр.режим)'!D21=0,"-",'Себестоимость(тр.режим)'!D21)</f>
        <v>-</v>
      </c>
      <c r="E21" s="42" t="str">
        <f>IF('Себестоимость(тр.режим)'!E21=0,"-",'Себестоимость(тр.режим)'!E21)</f>
        <v>-</v>
      </c>
      <c r="F21" s="42" t="str">
        <f>IF('Себестоимость(тр.режим)'!F21=0,"-",'Себестоимость(тр.режим)'!F21)</f>
        <v>-</v>
      </c>
      <c r="G21" s="52"/>
      <c r="H21" s="53"/>
      <c r="I21" s="16" t="str">
        <f t="shared" si="0"/>
        <v>-</v>
      </c>
      <c r="J21" s="16" t="str">
        <f>IF(D21="-","-",ROUND(I21/ЗП!$H$9,0))</f>
        <v>-</v>
      </c>
      <c r="K21" s="8"/>
    </row>
    <row r="22" spans="2:11" ht="10.5">
      <c r="B22" s="7"/>
      <c r="C22" s="14">
        <f t="shared" si="1"/>
        <v>13</v>
      </c>
      <c r="D22" s="77" t="str">
        <f>IF('Себестоимость(тр.режим)'!D22=0,"-",'Себестоимость(тр.режим)'!D22)</f>
        <v>-</v>
      </c>
      <c r="E22" s="42" t="str">
        <f>IF('Себестоимость(тр.режим)'!E22=0,"-",'Себестоимость(тр.режим)'!E22)</f>
        <v>-</v>
      </c>
      <c r="F22" s="42" t="str">
        <f>IF('Себестоимость(тр.режим)'!F22=0,"-",'Себестоимость(тр.режим)'!F22)</f>
        <v>-</v>
      </c>
      <c r="G22" s="52"/>
      <c r="H22" s="53"/>
      <c r="I22" s="16" t="str">
        <f t="shared" si="0"/>
        <v>-</v>
      </c>
      <c r="J22" s="16" t="str">
        <f>IF(D22="-","-",ROUND(I22/ЗП!$H$9,0))</f>
        <v>-</v>
      </c>
      <c r="K22" s="8"/>
    </row>
    <row r="23" spans="2:11" ht="10.5">
      <c r="B23" s="7"/>
      <c r="C23" s="14">
        <f t="shared" si="1"/>
        <v>14</v>
      </c>
      <c r="D23" s="77" t="str">
        <f>IF('Себестоимость(тр.режим)'!D23=0,"-",'Себестоимость(тр.режим)'!D23)</f>
        <v>-</v>
      </c>
      <c r="E23" s="42" t="str">
        <f>IF('Себестоимость(тр.режим)'!E23=0,"-",'Себестоимость(тр.режим)'!E23)</f>
        <v>-</v>
      </c>
      <c r="F23" s="42" t="str">
        <f>IF('Себестоимость(тр.режим)'!F23=0,"-",'Себестоимость(тр.режим)'!F23)</f>
        <v>-</v>
      </c>
      <c r="G23" s="52"/>
      <c r="H23" s="53"/>
      <c r="I23" s="16" t="str">
        <f t="shared" si="0"/>
        <v>-</v>
      </c>
      <c r="J23" s="16" t="str">
        <f>IF(D23="-","-",ROUND(I23/ЗП!$H$9,0))</f>
        <v>-</v>
      </c>
      <c r="K23" s="8"/>
    </row>
    <row r="24" spans="2:11" ht="10.5">
      <c r="B24" s="7"/>
      <c r="C24" s="14">
        <f t="shared" si="1"/>
        <v>15</v>
      </c>
      <c r="D24" s="77" t="str">
        <f>IF('Себестоимость(тр.режим)'!D24=0,"-",'Себестоимость(тр.режим)'!D24)</f>
        <v>-</v>
      </c>
      <c r="E24" s="42" t="str">
        <f>IF('Себестоимость(тр.режим)'!E24=0,"-",'Себестоимость(тр.режим)'!E24)</f>
        <v>-</v>
      </c>
      <c r="F24" s="42" t="str">
        <f>IF('Себестоимость(тр.режим)'!F24=0,"-",'Себестоимость(тр.режим)'!F24)</f>
        <v>-</v>
      </c>
      <c r="G24" s="52"/>
      <c r="H24" s="53"/>
      <c r="I24" s="16" t="str">
        <f t="shared" si="0"/>
        <v>-</v>
      </c>
      <c r="J24" s="16" t="str">
        <f>IF(D24="-","-",ROUND(I24/ЗП!$H$9,0))</f>
        <v>-</v>
      </c>
      <c r="K24" s="8"/>
    </row>
    <row r="25" spans="2:11" ht="10.5">
      <c r="B25" s="7"/>
      <c r="C25" s="14">
        <f t="shared" si="1"/>
        <v>16</v>
      </c>
      <c r="D25" s="77" t="str">
        <f>IF('Себестоимость(тр.режим)'!D25=0,"-",'Себестоимость(тр.режим)'!D25)</f>
        <v>-</v>
      </c>
      <c r="E25" s="42" t="str">
        <f>IF('Себестоимость(тр.режим)'!E25=0,"-",'Себестоимость(тр.режим)'!E25)</f>
        <v>-</v>
      </c>
      <c r="F25" s="42" t="str">
        <f>IF('Себестоимость(тр.режим)'!F25=0,"-",'Себестоимость(тр.режим)'!F25)</f>
        <v>-</v>
      </c>
      <c r="G25" s="52"/>
      <c r="H25" s="53"/>
      <c r="I25" s="16" t="str">
        <f t="shared" si="0"/>
        <v>-</v>
      </c>
      <c r="J25" s="16" t="str">
        <f>IF(D25="-","-",ROUND(I25/ЗП!$H$9,0))</f>
        <v>-</v>
      </c>
      <c r="K25" s="8"/>
    </row>
    <row r="26" spans="2:11" ht="10.5">
      <c r="B26" s="7"/>
      <c r="C26" s="14">
        <f t="shared" si="1"/>
        <v>17</v>
      </c>
      <c r="D26" s="77" t="str">
        <f>IF('Себестоимость(тр.режим)'!D26=0,"-",'Себестоимость(тр.режим)'!D26)</f>
        <v>-</v>
      </c>
      <c r="E26" s="42" t="str">
        <f>IF('Себестоимость(тр.режим)'!E26=0,"-",'Себестоимость(тр.режим)'!E26)</f>
        <v>-</v>
      </c>
      <c r="F26" s="42" t="str">
        <f>IF('Себестоимость(тр.режим)'!F26=0,"-",'Себестоимость(тр.режим)'!F26)</f>
        <v>-</v>
      </c>
      <c r="G26" s="52"/>
      <c r="H26" s="53"/>
      <c r="I26" s="16" t="str">
        <f t="shared" si="0"/>
        <v>-</v>
      </c>
      <c r="J26" s="16" t="str">
        <f>IF(D26="-","-",ROUND(I26/ЗП!$H$9,0))</f>
        <v>-</v>
      </c>
      <c r="K26" s="8"/>
    </row>
    <row r="27" spans="2:11" ht="10.5">
      <c r="B27" s="7"/>
      <c r="C27" s="14">
        <f t="shared" si="1"/>
        <v>18</v>
      </c>
      <c r="D27" s="77" t="str">
        <f>IF('Себестоимость(тр.режим)'!D27=0,"-",'Себестоимость(тр.режим)'!D27)</f>
        <v>-</v>
      </c>
      <c r="E27" s="42" t="str">
        <f>IF('Себестоимость(тр.режим)'!E27=0,"-",'Себестоимость(тр.режим)'!E27)</f>
        <v>-</v>
      </c>
      <c r="F27" s="42" t="str">
        <f>IF('Себестоимость(тр.режим)'!F27=0,"-",'Себестоимость(тр.режим)'!F27)</f>
        <v>-</v>
      </c>
      <c r="G27" s="52"/>
      <c r="H27" s="53"/>
      <c r="I27" s="16" t="str">
        <f t="shared" si="0"/>
        <v>-</v>
      </c>
      <c r="J27" s="16" t="str">
        <f>IF(D27="-","-",ROUND(I27/ЗП!$H$9,0))</f>
        <v>-</v>
      </c>
      <c r="K27" s="8"/>
    </row>
    <row r="28" spans="2:11" ht="10.5">
      <c r="B28" s="7"/>
      <c r="C28" s="14">
        <f t="shared" si="1"/>
        <v>19</v>
      </c>
      <c r="D28" s="77" t="str">
        <f>IF('Себестоимость(тр.режим)'!D28=0,"-",'Себестоимость(тр.режим)'!D28)</f>
        <v>-</v>
      </c>
      <c r="E28" s="42" t="str">
        <f>IF('Себестоимость(тр.режим)'!E28=0,"-",'Себестоимость(тр.режим)'!E28)</f>
        <v>-</v>
      </c>
      <c r="F28" s="42" t="str">
        <f>IF('Себестоимость(тр.режим)'!F28=0,"-",'Себестоимость(тр.режим)'!F28)</f>
        <v>-</v>
      </c>
      <c r="G28" s="52"/>
      <c r="H28" s="53"/>
      <c r="I28" s="16" t="str">
        <f t="shared" si="0"/>
        <v>-</v>
      </c>
      <c r="J28" s="16" t="str">
        <f>IF(D28="-","-",ROUND(I28/ЗП!$H$9,0))</f>
        <v>-</v>
      </c>
      <c r="K28" s="8"/>
    </row>
    <row r="29" spans="2:11" ht="10.5">
      <c r="B29" s="7"/>
      <c r="C29" s="14">
        <f t="shared" si="1"/>
        <v>20</v>
      </c>
      <c r="D29" s="77" t="str">
        <f>IF('Себестоимость(тр.режим)'!D29=0,"-",'Себестоимость(тр.режим)'!D29)</f>
        <v>-</v>
      </c>
      <c r="E29" s="42" t="str">
        <f>IF('Себестоимость(тр.режим)'!E29=0,"-",'Себестоимость(тр.режим)'!E29)</f>
        <v>-</v>
      </c>
      <c r="F29" s="42" t="str">
        <f>IF('Себестоимость(тр.режим)'!F29=0,"-",'Себестоимость(тр.режим)'!F29)</f>
        <v>-</v>
      </c>
      <c r="G29" s="52"/>
      <c r="H29" s="53"/>
      <c r="I29" s="16" t="str">
        <f t="shared" si="0"/>
        <v>-</v>
      </c>
      <c r="J29" s="16" t="str">
        <f>IF(D29="-","-",ROUND(I29/ЗП!$H$9,0))</f>
        <v>-</v>
      </c>
      <c r="K29" s="8"/>
    </row>
    <row r="30" spans="2:11" ht="10.5">
      <c r="B30" s="7"/>
      <c r="C30" s="14">
        <f t="shared" si="1"/>
        <v>21</v>
      </c>
      <c r="D30" s="77" t="str">
        <f>IF('Себестоимость(тр.режим)'!D30=0,"-",'Себестоимость(тр.режим)'!D30)</f>
        <v>-</v>
      </c>
      <c r="E30" s="42" t="str">
        <f>IF('Себестоимость(тр.режим)'!E30=0,"-",'Себестоимость(тр.режим)'!E30)</f>
        <v>-</v>
      </c>
      <c r="F30" s="42" t="str">
        <f>IF('Себестоимость(тр.режим)'!F30=0,"-",'Себестоимость(тр.режим)'!F30)</f>
        <v>-</v>
      </c>
      <c r="G30" s="52"/>
      <c r="H30" s="53"/>
      <c r="I30" s="16" t="str">
        <f t="shared" si="0"/>
        <v>-</v>
      </c>
      <c r="J30" s="16" t="str">
        <f>IF(D30="-","-",ROUND(I30/ЗП!$H$9,0))</f>
        <v>-</v>
      </c>
      <c r="K30" s="8"/>
    </row>
    <row r="31" spans="2:11" ht="10.5">
      <c r="B31" s="7"/>
      <c r="C31" s="10"/>
      <c r="D31" s="10"/>
      <c r="E31" s="10"/>
      <c r="F31" s="10"/>
      <c r="G31" s="10"/>
      <c r="H31" s="10"/>
      <c r="I31" s="10"/>
      <c r="J31" s="10"/>
      <c r="K31" s="8"/>
    </row>
    <row r="32" spans="2:51" ht="11.25" thickBot="1">
      <c r="B32" s="25"/>
      <c r="C32" s="26"/>
      <c r="D32" s="26"/>
      <c r="E32" s="26"/>
      <c r="F32" s="26"/>
      <c r="G32" s="26"/>
      <c r="H32" s="26"/>
      <c r="I32" s="26"/>
      <c r="J32" s="26"/>
      <c r="K32" s="27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5:51" ht="10.5"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5:51" ht="10.5">
      <c r="O34" s="2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  <c r="AK34" s="30"/>
      <c r="AL34" s="30"/>
      <c r="AM34" s="30"/>
      <c r="AN34" s="30"/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3:51" ht="10.5">
      <c r="C35" s="31"/>
      <c r="D35" s="31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3:51" ht="10.5">
      <c r="C36" s="31"/>
      <c r="D36" s="31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</row>
    <row r="37" spans="3:51" ht="10.5">
      <c r="C37" s="31"/>
      <c r="D37" s="31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3:51" ht="10.5">
      <c r="C38" s="31"/>
      <c r="D38" s="31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</row>
    <row r="39" spans="3:51" ht="10.5">
      <c r="C39" s="31"/>
      <c r="D39" s="31"/>
      <c r="M39" s="23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</row>
    <row r="40" spans="3:51" ht="10.5">
      <c r="C40" s="31"/>
      <c r="D40" s="3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</row>
    <row r="41" spans="3:51" ht="10.5">
      <c r="C41" s="31"/>
      <c r="D41" s="31"/>
      <c r="O41" s="28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3:51" ht="10.5">
      <c r="C42" s="31"/>
      <c r="D42" s="31"/>
      <c r="O42" s="28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3:51" ht="10.5">
      <c r="C43" s="31"/>
      <c r="D43" s="31"/>
      <c r="O43" s="28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3:51" ht="10.5">
      <c r="C44" s="31"/>
      <c r="D44" s="31"/>
      <c r="O44" s="28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3:51" ht="10.5">
      <c r="C45" s="31"/>
      <c r="D45" s="31"/>
      <c r="O45" s="28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3:51" ht="10.5">
      <c r="C46" s="31"/>
      <c r="D46" s="31"/>
      <c r="O46" s="28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3:4" ht="10.5">
      <c r="C47" s="31"/>
      <c r="D47" s="31"/>
    </row>
  </sheetData>
  <sheetProtection/>
  <mergeCells count="3">
    <mergeCell ref="C4:J4"/>
    <mergeCell ref="C5:J5"/>
    <mergeCell ref="C6:J6"/>
  </mergeCells>
  <hyperlinks>
    <hyperlink ref="M5" location="'Калькуляция (тр.режим)'!A1" display="Калькуляция стоимости 1 машино-часа (транспортный режим)"/>
    <hyperlink ref="M6" location="'Калькуляция(экскавация)'!A1" display="Калькуляция стоимости 1 машино-часа (транспортный режим)"/>
    <hyperlink ref="M7" location="'Калькуляция(погрузка)'!A1" display="Калькуляция стоимости 1 машино-часа (погрузка)"/>
    <hyperlink ref="M8" location="'Себестоимость(тр.режим)'!A1" display="Расчет производственной себестоимости 1 машино-часа (транспортный режим)"/>
    <hyperlink ref="M9" location="'Себестоимость(экскавация)'!A1" display="Расчет производственной себестоимости 1 машино-часа (экскавация)"/>
    <hyperlink ref="M10" location="'Себестоимость(погрузка)'!A1" display="Расчет производственной себестоимости 1 машино-часа (погрузка)"/>
    <hyperlink ref="M11" location="ГСМ!A1" display="Расчет затрат на топливо (ГСМ)"/>
    <hyperlink ref="M12" location="СМ!A1" display="Расчет затрат на смазочные материалы (СМ)"/>
    <hyperlink ref="M13" location="ЗП!A1" display="Расчет затрат на заработную плату водителей "/>
    <hyperlink ref="M14" location="амортизация!A1" display="Расчет амортизационных отчислений"/>
    <hyperlink ref="M15" location="'расчет % ОПР'!A1" display="Расчет процента общепроизводственных расходов"/>
    <hyperlink ref="M16" location="'расчет % ОХР'!A1" display="Расчет процента общехозяйственных расходов"/>
    <hyperlink ref="M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87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2" manualBreakCount="2">
    <brk id="11" max="65535" man="1"/>
    <brk id="30" min="1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V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3" bestFit="1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9" width="2.140625" style="1" customWidth="1"/>
    <col min="10" max="10" width="53.5742187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4"/>
      <c r="D3" s="34"/>
      <c r="E3" s="34"/>
      <c r="F3" s="34"/>
      <c r="G3" s="34"/>
      <c r="H3" s="8"/>
    </row>
    <row r="4" spans="2:8" ht="10.5">
      <c r="B4" s="7"/>
      <c r="C4" s="80" t="s">
        <v>30</v>
      </c>
      <c r="D4" s="80"/>
      <c r="E4" s="80"/>
      <c r="F4" s="80"/>
      <c r="G4" s="80"/>
      <c r="H4" s="8"/>
    </row>
    <row r="5" spans="2:10" ht="15">
      <c r="B5" s="7"/>
      <c r="C5" s="81" t="s">
        <v>68</v>
      </c>
      <c r="D5" s="81"/>
      <c r="E5" s="81"/>
      <c r="F5" s="81"/>
      <c r="G5" s="81"/>
      <c r="H5" s="8"/>
      <c r="J5" s="68" t="s">
        <v>175</v>
      </c>
    </row>
    <row r="6" spans="2:10" ht="15">
      <c r="B6" s="7"/>
      <c r="C6" s="10"/>
      <c r="D6" s="10"/>
      <c r="E6" s="10"/>
      <c r="F6" s="10"/>
      <c r="G6" s="10" t="s">
        <v>93</v>
      </c>
      <c r="H6" s="8"/>
      <c r="J6" s="68" t="s">
        <v>176</v>
      </c>
    </row>
    <row r="7" spans="2:10" ht="27">
      <c r="B7" s="7"/>
      <c r="C7" s="41" t="s">
        <v>1</v>
      </c>
      <c r="D7" s="41" t="s">
        <v>69</v>
      </c>
      <c r="E7" s="41" t="s">
        <v>71</v>
      </c>
      <c r="F7" s="41" t="s">
        <v>109</v>
      </c>
      <c r="G7" s="41" t="s">
        <v>70</v>
      </c>
      <c r="H7" s="8"/>
      <c r="J7" s="68" t="s">
        <v>177</v>
      </c>
    </row>
    <row r="8" spans="2:10" ht="15">
      <c r="B8" s="7"/>
      <c r="C8" s="14">
        <v>1</v>
      </c>
      <c r="D8" s="69" t="s">
        <v>72</v>
      </c>
      <c r="E8" s="65">
        <v>300000</v>
      </c>
      <c r="F8" s="65">
        <v>325000</v>
      </c>
      <c r="G8" s="58">
        <f>ROUND(F8/E8,5)</f>
        <v>1.08333</v>
      </c>
      <c r="H8" s="8"/>
      <c r="J8" s="68" t="s">
        <v>178</v>
      </c>
    </row>
    <row r="9" spans="1:10" ht="15">
      <c r="A9" s="3">
        <v>0.34</v>
      </c>
      <c r="B9" s="7"/>
      <c r="C9" s="14">
        <f>C8+1</f>
        <v>2</v>
      </c>
      <c r="D9" s="69" t="s">
        <v>73</v>
      </c>
      <c r="E9" s="66">
        <f>E8*$A$9</f>
        <v>102000.00000000001</v>
      </c>
      <c r="F9" s="66">
        <f>F8*$A$9</f>
        <v>110500.00000000001</v>
      </c>
      <c r="G9" s="58">
        <f aca="true" t="shared" si="0" ref="G9:G28">ROUND(F9/E9,5)</f>
        <v>1.08333</v>
      </c>
      <c r="H9" s="8"/>
      <c r="J9" s="68" t="s">
        <v>179</v>
      </c>
    </row>
    <row r="10" spans="1:10" ht="15">
      <c r="A10" s="3">
        <v>0.006</v>
      </c>
      <c r="B10" s="7"/>
      <c r="C10" s="14">
        <f aca="true" t="shared" si="1" ref="C10:C29">C9+1</f>
        <v>3</v>
      </c>
      <c r="D10" s="69" t="s">
        <v>74</v>
      </c>
      <c r="E10" s="66">
        <f>E8*$A$10</f>
        <v>1800</v>
      </c>
      <c r="F10" s="66">
        <f>F8*$A$10</f>
        <v>1950</v>
      </c>
      <c r="G10" s="58">
        <f t="shared" si="0"/>
        <v>1.08333</v>
      </c>
      <c r="H10" s="8"/>
      <c r="J10" s="68" t="s">
        <v>180</v>
      </c>
    </row>
    <row r="11" spans="2:10" ht="15">
      <c r="B11" s="7"/>
      <c r="C11" s="14">
        <f t="shared" si="1"/>
        <v>4</v>
      </c>
      <c r="D11" s="69" t="s">
        <v>75</v>
      </c>
      <c r="E11" s="65">
        <v>140000</v>
      </c>
      <c r="F11" s="65">
        <v>185000</v>
      </c>
      <c r="G11" s="58">
        <f t="shared" si="0"/>
        <v>1.32143</v>
      </c>
      <c r="H11" s="8"/>
      <c r="J11" s="68" t="s">
        <v>181</v>
      </c>
    </row>
    <row r="12" spans="2:10" ht="15">
      <c r="B12" s="7"/>
      <c r="C12" s="14">
        <f t="shared" si="1"/>
        <v>5</v>
      </c>
      <c r="D12" s="69" t="s">
        <v>76</v>
      </c>
      <c r="E12" s="65">
        <v>125000</v>
      </c>
      <c r="F12" s="65">
        <v>124000</v>
      </c>
      <c r="G12" s="58">
        <f t="shared" si="0"/>
        <v>0.992</v>
      </c>
      <c r="H12" s="8"/>
      <c r="J12" s="68" t="s">
        <v>183</v>
      </c>
    </row>
    <row r="13" spans="2:10" ht="15">
      <c r="B13" s="7"/>
      <c r="C13" s="14">
        <f t="shared" si="1"/>
        <v>6</v>
      </c>
      <c r="D13" s="69" t="s">
        <v>77</v>
      </c>
      <c r="E13" s="65">
        <v>69000</v>
      </c>
      <c r="F13" s="65">
        <v>68500</v>
      </c>
      <c r="G13" s="58">
        <f t="shared" si="0"/>
        <v>0.99275</v>
      </c>
      <c r="H13" s="8"/>
      <c r="J13" s="68" t="s">
        <v>184</v>
      </c>
    </row>
    <row r="14" spans="2:10" ht="15">
      <c r="B14" s="7"/>
      <c r="C14" s="14">
        <f t="shared" si="1"/>
        <v>7</v>
      </c>
      <c r="D14" s="69" t="s">
        <v>78</v>
      </c>
      <c r="E14" s="65">
        <v>3500</v>
      </c>
      <c r="F14" s="65">
        <v>3420</v>
      </c>
      <c r="G14" s="58">
        <f t="shared" si="0"/>
        <v>0.97714</v>
      </c>
      <c r="H14" s="8"/>
      <c r="J14" s="68" t="s">
        <v>118</v>
      </c>
    </row>
    <row r="15" spans="2:10" ht="15">
      <c r="B15" s="7"/>
      <c r="C15" s="14">
        <f t="shared" si="1"/>
        <v>8</v>
      </c>
      <c r="D15" s="69" t="s">
        <v>79</v>
      </c>
      <c r="E15" s="65">
        <v>52000</v>
      </c>
      <c r="F15" s="65">
        <v>50000</v>
      </c>
      <c r="G15" s="58">
        <f t="shared" si="0"/>
        <v>0.96154</v>
      </c>
      <c r="H15" s="8"/>
      <c r="J15" s="68" t="s">
        <v>92</v>
      </c>
    </row>
    <row r="16" spans="2:10" ht="15">
      <c r="B16" s="7"/>
      <c r="C16" s="14">
        <f t="shared" si="1"/>
        <v>9</v>
      </c>
      <c r="D16" s="69" t="s">
        <v>80</v>
      </c>
      <c r="E16" s="65">
        <v>14000</v>
      </c>
      <c r="F16" s="65">
        <v>15100</v>
      </c>
      <c r="G16" s="58">
        <f t="shared" si="0"/>
        <v>1.07857</v>
      </c>
      <c r="H16" s="8"/>
      <c r="J16" s="68" t="s">
        <v>108</v>
      </c>
    </row>
    <row r="17" spans="2:10" ht="15">
      <c r="B17" s="7"/>
      <c r="C17" s="14">
        <f t="shared" si="1"/>
        <v>10</v>
      </c>
      <c r="D17" s="69" t="s">
        <v>81</v>
      </c>
      <c r="E17" s="65">
        <v>3800</v>
      </c>
      <c r="F17" s="65">
        <v>5400</v>
      </c>
      <c r="G17" s="58">
        <f t="shared" si="0"/>
        <v>1.42105</v>
      </c>
      <c r="H17" s="8"/>
      <c r="J17" s="68" t="s">
        <v>117</v>
      </c>
    </row>
    <row r="18" spans="2:8" ht="10.5">
      <c r="B18" s="7"/>
      <c r="C18" s="14">
        <f t="shared" si="1"/>
        <v>11</v>
      </c>
      <c r="D18" s="69" t="s">
        <v>82</v>
      </c>
      <c r="E18" s="65">
        <v>55000</v>
      </c>
      <c r="F18" s="65">
        <v>58000</v>
      </c>
      <c r="G18" s="58">
        <f t="shared" si="0"/>
        <v>1.05455</v>
      </c>
      <c r="H18" s="8"/>
    </row>
    <row r="19" spans="2:8" ht="10.5">
      <c r="B19" s="7"/>
      <c r="C19" s="14">
        <f t="shared" si="1"/>
        <v>12</v>
      </c>
      <c r="D19" s="69" t="s">
        <v>83</v>
      </c>
      <c r="E19" s="65">
        <v>8700</v>
      </c>
      <c r="F19" s="65">
        <v>9500</v>
      </c>
      <c r="G19" s="58">
        <f t="shared" si="0"/>
        <v>1.09195</v>
      </c>
      <c r="H19" s="8"/>
    </row>
    <row r="20" spans="2:8" ht="10.5">
      <c r="B20" s="7"/>
      <c r="C20" s="14">
        <f t="shared" si="1"/>
        <v>13</v>
      </c>
      <c r="D20" s="69" t="s">
        <v>84</v>
      </c>
      <c r="E20" s="65">
        <v>12000</v>
      </c>
      <c r="F20" s="65">
        <v>14700</v>
      </c>
      <c r="G20" s="58">
        <f t="shared" si="0"/>
        <v>1.225</v>
      </c>
      <c r="H20" s="8"/>
    </row>
    <row r="21" spans="2:8" ht="10.5">
      <c r="B21" s="7"/>
      <c r="C21" s="14">
        <f t="shared" si="1"/>
        <v>14</v>
      </c>
      <c r="D21" s="69" t="s">
        <v>85</v>
      </c>
      <c r="E21" s="65">
        <v>10000</v>
      </c>
      <c r="F21" s="65">
        <v>11500</v>
      </c>
      <c r="G21" s="58">
        <f t="shared" si="0"/>
        <v>1.15</v>
      </c>
      <c r="H21" s="8"/>
    </row>
    <row r="22" spans="2:8" ht="10.5">
      <c r="B22" s="7"/>
      <c r="C22" s="14">
        <f t="shared" si="1"/>
        <v>15</v>
      </c>
      <c r="D22" s="69" t="s">
        <v>86</v>
      </c>
      <c r="E22" s="65">
        <v>32000</v>
      </c>
      <c r="F22" s="65">
        <v>33000</v>
      </c>
      <c r="G22" s="58">
        <f t="shared" si="0"/>
        <v>1.03125</v>
      </c>
      <c r="H22" s="8"/>
    </row>
    <row r="23" spans="2:8" ht="10.5">
      <c r="B23" s="7"/>
      <c r="C23" s="14">
        <f t="shared" si="1"/>
        <v>16</v>
      </c>
      <c r="D23" s="69" t="s">
        <v>87</v>
      </c>
      <c r="E23" s="65">
        <v>1440</v>
      </c>
      <c r="F23" s="65">
        <v>1580</v>
      </c>
      <c r="G23" s="58">
        <f t="shared" si="0"/>
        <v>1.09722</v>
      </c>
      <c r="H23" s="8"/>
    </row>
    <row r="24" spans="2:8" ht="10.5">
      <c r="B24" s="7"/>
      <c r="C24" s="14">
        <f t="shared" si="1"/>
        <v>17</v>
      </c>
      <c r="D24" s="69" t="s">
        <v>88</v>
      </c>
      <c r="E24" s="65">
        <v>35000</v>
      </c>
      <c r="F24" s="65">
        <v>30000</v>
      </c>
      <c r="G24" s="58">
        <f t="shared" si="0"/>
        <v>0.85714</v>
      </c>
      <c r="H24" s="8"/>
    </row>
    <row r="25" spans="2:8" ht="10.5">
      <c r="B25" s="7"/>
      <c r="C25" s="14">
        <f t="shared" si="1"/>
        <v>18</v>
      </c>
      <c r="D25" s="69" t="s">
        <v>89</v>
      </c>
      <c r="E25" s="65">
        <v>5200</v>
      </c>
      <c r="F25" s="65">
        <v>5500</v>
      </c>
      <c r="G25" s="58">
        <f t="shared" si="0"/>
        <v>1.05769</v>
      </c>
      <c r="H25" s="8"/>
    </row>
    <row r="26" spans="2:8" ht="10.5">
      <c r="B26" s="7"/>
      <c r="C26" s="14">
        <f t="shared" si="1"/>
        <v>19</v>
      </c>
      <c r="D26" s="69" t="s">
        <v>90</v>
      </c>
      <c r="E26" s="65">
        <v>39000</v>
      </c>
      <c r="F26" s="65">
        <v>42000</v>
      </c>
      <c r="G26" s="58">
        <f t="shared" si="0"/>
        <v>1.07692</v>
      </c>
      <c r="H26" s="8"/>
    </row>
    <row r="27" spans="2:8" ht="10.5">
      <c r="B27" s="7"/>
      <c r="C27" s="14">
        <f t="shared" si="1"/>
        <v>20</v>
      </c>
      <c r="D27" s="69" t="s">
        <v>4</v>
      </c>
      <c r="E27" s="66">
        <f>SUM(E8:E26)</f>
        <v>1009440</v>
      </c>
      <c r="F27" s="66">
        <f>SUM(F8:F26)</f>
        <v>1094650</v>
      </c>
      <c r="G27" s="58">
        <f t="shared" si="0"/>
        <v>1.08441</v>
      </c>
      <c r="H27" s="8"/>
    </row>
    <row r="28" spans="2:8" ht="10.5">
      <c r="B28" s="7"/>
      <c r="C28" s="14">
        <f t="shared" si="1"/>
        <v>21</v>
      </c>
      <c r="D28" s="69" t="s">
        <v>91</v>
      </c>
      <c r="E28" s="65">
        <v>1800000</v>
      </c>
      <c r="F28" s="65">
        <v>2000000</v>
      </c>
      <c r="G28" s="58">
        <f t="shared" si="0"/>
        <v>1.11111</v>
      </c>
      <c r="H28" s="8"/>
    </row>
    <row r="29" spans="2:8" ht="10.5">
      <c r="B29" s="7"/>
      <c r="C29" s="14">
        <f t="shared" si="1"/>
        <v>22</v>
      </c>
      <c r="D29" s="55" t="s">
        <v>92</v>
      </c>
      <c r="E29" s="59">
        <f>ROUND(E27/E28,5)</f>
        <v>0.5608</v>
      </c>
      <c r="F29" s="59">
        <f>ROUND(F27/F28,5)</f>
        <v>0.54733</v>
      </c>
      <c r="G29" s="51"/>
      <c r="H29" s="8"/>
    </row>
    <row r="30" spans="2:48" ht="11.25" thickBot="1">
      <c r="B30" s="25"/>
      <c r="C30" s="26"/>
      <c r="D30" s="26"/>
      <c r="E30" s="26"/>
      <c r="F30" s="26"/>
      <c r="G30" s="26"/>
      <c r="H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2:48" ht="10.5"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2:48" ht="10.5">
      <c r="L32" s="24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3:48" ht="10.5">
      <c r="C33" s="31"/>
      <c r="D33" s="31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3:48" ht="10.5">
      <c r="C34" s="31"/>
      <c r="D34" s="31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3:48" ht="10.5">
      <c r="C35" s="31"/>
      <c r="D35" s="31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3:48" ht="10.5">
      <c r="C36" s="31"/>
      <c r="D36" s="31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3:48" ht="10.5">
      <c r="C37" s="31"/>
      <c r="D37" s="31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3:48" ht="10.5">
      <c r="C38" s="31"/>
      <c r="D38" s="3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3:48" ht="10.5">
      <c r="C39" s="31"/>
      <c r="D39" s="31"/>
      <c r="J39" s="23"/>
      <c r="L39" s="28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3:48" ht="10.5">
      <c r="C40" s="31"/>
      <c r="D40" s="31"/>
      <c r="L40" s="2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3:48" ht="10.5">
      <c r="C41" s="31"/>
      <c r="D41" s="31"/>
      <c r="L41" s="2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3:48" ht="10.5">
      <c r="C42" s="31"/>
      <c r="D42" s="31"/>
      <c r="L42" s="28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3:48" ht="10.5">
      <c r="C43" s="31"/>
      <c r="D43" s="31"/>
      <c r="L43" s="2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3:48" ht="10.5">
      <c r="C44" s="31"/>
      <c r="D44" s="31"/>
      <c r="L44" s="2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3:4" ht="10.5">
      <c r="C45" s="31"/>
      <c r="D45" s="31"/>
    </row>
  </sheetData>
  <sheetProtection/>
  <mergeCells count="2">
    <mergeCell ref="C4:G4"/>
    <mergeCell ref="C5:G5"/>
  </mergeCells>
  <hyperlinks>
    <hyperlink ref="J5" location="'Калькуляция (тр.режим)'!A1" display="Калькуляция стоимости 1 машино-часа (транспортный режим)"/>
    <hyperlink ref="J6" location="'Калькуляция(экскавация)'!A1" display="Калькуляция стоимости 1 машино-часа (транспортный режим)"/>
    <hyperlink ref="J7" location="'Калькуляция(погрузка)'!A1" display="Калькуляция стоимости 1 машино-часа (погрузка)"/>
    <hyperlink ref="J8" location="'Себестоимость(тр.режим)'!A1" display="Расчет производственной себестоимости 1 машино-часа (транспортный режим)"/>
    <hyperlink ref="J9" location="'Себестоимость(экскавация)'!A1" display="Расчет производственной себестоимости 1 машино-часа (экскавация)"/>
    <hyperlink ref="J10" location="'Себестоимость(погрузка)'!A1" display="Расчет производственной себестоимости 1 машино-часа (погрузка)"/>
    <hyperlink ref="J11" location="ГСМ!A1" display="Расчет затрат на топливо (ГСМ)"/>
    <hyperlink ref="J12" location="СМ!A1" display="Расчет затрат на смазочные материалы (СМ)"/>
    <hyperlink ref="J13" location="ЗП!A1" display="Расчет затрат на заработную плату водителей "/>
    <hyperlink ref="J14" location="амортизация!A1" display="Расчет амортизационных отчислений"/>
    <hyperlink ref="J15" location="'расчет % ОПР'!A1" display="Расчет процента общепроизводственных расходов"/>
    <hyperlink ref="J16" location="'расчет % ОХР'!A1" display="Расчет процента общехозяйственных расходов"/>
    <hyperlink ref="J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3" bestFit="1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8" width="2.140625" style="1" customWidth="1"/>
    <col min="9" max="9" width="2.421875" style="1" customWidth="1"/>
    <col min="10" max="10" width="53.5742187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4"/>
      <c r="D3" s="34"/>
      <c r="E3" s="34"/>
      <c r="F3" s="34"/>
      <c r="G3" s="34"/>
      <c r="H3" s="8"/>
    </row>
    <row r="4" spans="2:8" ht="10.5">
      <c r="B4" s="7"/>
      <c r="C4" s="80" t="s">
        <v>30</v>
      </c>
      <c r="D4" s="80"/>
      <c r="E4" s="80"/>
      <c r="F4" s="80"/>
      <c r="G4" s="80"/>
      <c r="H4" s="8"/>
    </row>
    <row r="5" spans="2:10" ht="15">
      <c r="B5" s="7"/>
      <c r="C5" s="81" t="s">
        <v>110</v>
      </c>
      <c r="D5" s="81"/>
      <c r="E5" s="81"/>
      <c r="F5" s="81"/>
      <c r="G5" s="81"/>
      <c r="H5" s="8"/>
      <c r="J5" s="68" t="s">
        <v>175</v>
      </c>
    </row>
    <row r="6" spans="2:10" ht="15">
      <c r="B6" s="7"/>
      <c r="C6" s="10"/>
      <c r="D6" s="10"/>
      <c r="E6" s="10"/>
      <c r="F6" s="10"/>
      <c r="G6" s="10" t="s">
        <v>93</v>
      </c>
      <c r="H6" s="8"/>
      <c r="J6" s="68" t="s">
        <v>176</v>
      </c>
    </row>
    <row r="7" spans="2:10" ht="27">
      <c r="B7" s="7"/>
      <c r="C7" s="41" t="s">
        <v>1</v>
      </c>
      <c r="D7" s="41" t="s">
        <v>69</v>
      </c>
      <c r="E7" s="61" t="str">
        <f>'расчет % ОПР'!E7</f>
        <v>Факт за предыдущий период</v>
      </c>
      <c r="F7" s="61" t="str">
        <f>'расчет % ОПР'!F7</f>
        <v>План на расчетный период</v>
      </c>
      <c r="G7" s="41" t="s">
        <v>70</v>
      </c>
      <c r="H7" s="8"/>
      <c r="J7" s="68" t="s">
        <v>177</v>
      </c>
    </row>
    <row r="8" spans="2:10" ht="15">
      <c r="B8" s="7"/>
      <c r="C8" s="14">
        <v>1</v>
      </c>
      <c r="D8" s="55" t="s">
        <v>94</v>
      </c>
      <c r="E8" s="56">
        <v>500000</v>
      </c>
      <c r="F8" s="56">
        <v>590000</v>
      </c>
      <c r="G8" s="58">
        <f>ROUND(F8/E8,5)</f>
        <v>1.18</v>
      </c>
      <c r="H8" s="8"/>
      <c r="J8" s="68" t="s">
        <v>178</v>
      </c>
    </row>
    <row r="9" spans="1:10" ht="15">
      <c r="A9" s="3">
        <v>0.34</v>
      </c>
      <c r="B9" s="7"/>
      <c r="C9" s="14">
        <f>C8+1</f>
        <v>2</v>
      </c>
      <c r="D9" s="55" t="s">
        <v>124</v>
      </c>
      <c r="E9" s="66">
        <f>E8*$A$9</f>
        <v>170000</v>
      </c>
      <c r="F9" s="66">
        <f>F8*$A$9</f>
        <v>200600</v>
      </c>
      <c r="G9" s="58">
        <f aca="true" t="shared" si="0" ref="G9:G32">ROUND(F9/E9,5)</f>
        <v>1.18</v>
      </c>
      <c r="H9" s="8"/>
      <c r="J9" s="68" t="s">
        <v>179</v>
      </c>
    </row>
    <row r="10" spans="1:10" ht="15">
      <c r="A10" s="3">
        <v>0.006</v>
      </c>
      <c r="B10" s="7"/>
      <c r="C10" s="14">
        <f aca="true" t="shared" si="1" ref="C10:C33">C9+1</f>
        <v>3</v>
      </c>
      <c r="D10" s="55" t="s">
        <v>74</v>
      </c>
      <c r="E10" s="66">
        <f>E8*$A$10</f>
        <v>3000</v>
      </c>
      <c r="F10" s="66">
        <f>F8*$A$10</f>
        <v>3540</v>
      </c>
      <c r="G10" s="58">
        <f t="shared" si="0"/>
        <v>1.18</v>
      </c>
      <c r="H10" s="8"/>
      <c r="J10" s="68" t="s">
        <v>180</v>
      </c>
    </row>
    <row r="11" spans="2:10" ht="15">
      <c r="B11" s="7"/>
      <c r="C11" s="14">
        <f t="shared" si="1"/>
        <v>4</v>
      </c>
      <c r="D11" s="55" t="s">
        <v>95</v>
      </c>
      <c r="E11" s="56">
        <v>2000</v>
      </c>
      <c r="F11" s="56">
        <v>2200</v>
      </c>
      <c r="G11" s="58">
        <f t="shared" si="0"/>
        <v>1.1</v>
      </c>
      <c r="H11" s="8"/>
      <c r="J11" s="68" t="s">
        <v>181</v>
      </c>
    </row>
    <row r="12" spans="2:10" ht="15">
      <c r="B12" s="7"/>
      <c r="C12" s="14">
        <f t="shared" si="1"/>
        <v>5</v>
      </c>
      <c r="D12" s="55" t="s">
        <v>96</v>
      </c>
      <c r="E12" s="56">
        <v>35000</v>
      </c>
      <c r="F12" s="56">
        <v>38000</v>
      </c>
      <c r="G12" s="58">
        <f t="shared" si="0"/>
        <v>1.08571</v>
      </c>
      <c r="H12" s="8"/>
      <c r="J12" s="68" t="s">
        <v>183</v>
      </c>
    </row>
    <row r="13" spans="2:10" ht="21">
      <c r="B13" s="7"/>
      <c r="C13" s="14">
        <f t="shared" si="1"/>
        <v>6</v>
      </c>
      <c r="D13" s="77" t="s">
        <v>97</v>
      </c>
      <c r="E13" s="56">
        <v>6900</v>
      </c>
      <c r="F13" s="56">
        <v>7500</v>
      </c>
      <c r="G13" s="58">
        <f t="shared" si="0"/>
        <v>1.08696</v>
      </c>
      <c r="H13" s="8"/>
      <c r="J13" s="68" t="s">
        <v>184</v>
      </c>
    </row>
    <row r="14" spans="2:10" ht="15">
      <c r="B14" s="7"/>
      <c r="C14" s="14">
        <f t="shared" si="1"/>
        <v>7</v>
      </c>
      <c r="D14" s="55" t="s">
        <v>78</v>
      </c>
      <c r="E14" s="56">
        <v>1200</v>
      </c>
      <c r="F14" s="56">
        <v>1250</v>
      </c>
      <c r="G14" s="58">
        <f t="shared" si="0"/>
        <v>1.04167</v>
      </c>
      <c r="H14" s="8"/>
      <c r="J14" s="68" t="s">
        <v>118</v>
      </c>
    </row>
    <row r="15" spans="2:10" ht="15">
      <c r="B15" s="7"/>
      <c r="C15" s="14">
        <f t="shared" si="1"/>
        <v>8</v>
      </c>
      <c r="D15" s="55" t="s">
        <v>98</v>
      </c>
      <c r="E15" s="56">
        <v>2400</v>
      </c>
      <c r="F15" s="56">
        <v>2580</v>
      </c>
      <c r="G15" s="58">
        <f t="shared" si="0"/>
        <v>1.075</v>
      </c>
      <c r="H15" s="8"/>
      <c r="J15" s="68" t="s">
        <v>92</v>
      </c>
    </row>
    <row r="16" spans="2:10" ht="15">
      <c r="B16" s="7"/>
      <c r="C16" s="14">
        <f t="shared" si="1"/>
        <v>9</v>
      </c>
      <c r="D16" s="55" t="s">
        <v>99</v>
      </c>
      <c r="E16" s="56">
        <v>900</v>
      </c>
      <c r="F16" s="56">
        <v>940</v>
      </c>
      <c r="G16" s="58">
        <f t="shared" si="0"/>
        <v>1.04444</v>
      </c>
      <c r="H16" s="8"/>
      <c r="J16" s="68" t="s">
        <v>108</v>
      </c>
    </row>
    <row r="17" spans="2:10" ht="15">
      <c r="B17" s="7"/>
      <c r="C17" s="14">
        <f t="shared" si="1"/>
        <v>10</v>
      </c>
      <c r="D17" s="55" t="s">
        <v>100</v>
      </c>
      <c r="E17" s="56">
        <v>2500</v>
      </c>
      <c r="F17" s="56">
        <v>2520</v>
      </c>
      <c r="G17" s="58">
        <f t="shared" si="0"/>
        <v>1.008</v>
      </c>
      <c r="H17" s="8"/>
      <c r="J17" s="68" t="s">
        <v>117</v>
      </c>
    </row>
    <row r="18" spans="2:8" ht="10.5">
      <c r="B18" s="7"/>
      <c r="C18" s="14">
        <f t="shared" si="1"/>
        <v>11</v>
      </c>
      <c r="D18" s="55" t="s">
        <v>81</v>
      </c>
      <c r="E18" s="56">
        <v>3500</v>
      </c>
      <c r="F18" s="56">
        <v>7800</v>
      </c>
      <c r="G18" s="58">
        <f t="shared" si="0"/>
        <v>2.22857</v>
      </c>
      <c r="H18" s="8"/>
    </row>
    <row r="19" spans="2:8" ht="10.5">
      <c r="B19" s="7"/>
      <c r="C19" s="14">
        <f t="shared" si="1"/>
        <v>12</v>
      </c>
      <c r="D19" s="55" t="s">
        <v>101</v>
      </c>
      <c r="E19" s="56">
        <v>12000</v>
      </c>
      <c r="F19" s="56">
        <v>13000</v>
      </c>
      <c r="G19" s="58">
        <f t="shared" si="0"/>
        <v>1.08333</v>
      </c>
      <c r="H19" s="8"/>
    </row>
    <row r="20" spans="2:8" ht="10.5">
      <c r="B20" s="7"/>
      <c r="C20" s="14">
        <f t="shared" si="1"/>
        <v>13</v>
      </c>
      <c r="D20" s="55" t="s">
        <v>102</v>
      </c>
      <c r="E20" s="56">
        <v>289</v>
      </c>
      <c r="F20" s="56">
        <v>295</v>
      </c>
      <c r="G20" s="58">
        <f t="shared" si="0"/>
        <v>1.02076</v>
      </c>
      <c r="H20" s="8"/>
    </row>
    <row r="21" spans="2:8" ht="10.5">
      <c r="B21" s="7"/>
      <c r="C21" s="14">
        <f t="shared" si="1"/>
        <v>14</v>
      </c>
      <c r="D21" s="55" t="s">
        <v>103</v>
      </c>
      <c r="E21" s="56">
        <v>2520</v>
      </c>
      <c r="F21" s="56">
        <v>2680</v>
      </c>
      <c r="G21" s="58">
        <f t="shared" si="0"/>
        <v>1.06349</v>
      </c>
      <c r="H21" s="8"/>
    </row>
    <row r="22" spans="2:8" ht="10.5">
      <c r="B22" s="7"/>
      <c r="C22" s="14">
        <f t="shared" si="1"/>
        <v>15</v>
      </c>
      <c r="D22" s="55" t="s">
        <v>84</v>
      </c>
      <c r="E22" s="56">
        <v>450</v>
      </c>
      <c r="F22" s="56">
        <v>490</v>
      </c>
      <c r="G22" s="58">
        <f t="shared" si="0"/>
        <v>1.08889</v>
      </c>
      <c r="H22" s="8"/>
    </row>
    <row r="23" spans="2:8" ht="10.5">
      <c r="B23" s="7"/>
      <c r="C23" s="14">
        <f t="shared" si="1"/>
        <v>16</v>
      </c>
      <c r="D23" s="55" t="s">
        <v>104</v>
      </c>
      <c r="E23" s="56">
        <v>13400</v>
      </c>
      <c r="F23" s="56">
        <v>14200</v>
      </c>
      <c r="G23" s="58">
        <f t="shared" si="0"/>
        <v>1.0597</v>
      </c>
      <c r="H23" s="8"/>
    </row>
    <row r="24" spans="2:8" ht="10.5">
      <c r="B24" s="7"/>
      <c r="C24" s="14">
        <f t="shared" si="1"/>
        <v>17</v>
      </c>
      <c r="D24" s="55" t="s">
        <v>80</v>
      </c>
      <c r="E24" s="56">
        <v>5600</v>
      </c>
      <c r="F24" s="56">
        <v>5800</v>
      </c>
      <c r="G24" s="58">
        <f t="shared" si="0"/>
        <v>1.03571</v>
      </c>
      <c r="H24" s="8"/>
    </row>
    <row r="25" spans="2:8" ht="10.5">
      <c r="B25" s="7"/>
      <c r="C25" s="14">
        <f t="shared" si="1"/>
        <v>18</v>
      </c>
      <c r="D25" s="55" t="s">
        <v>105</v>
      </c>
      <c r="E25" s="56">
        <v>5000</v>
      </c>
      <c r="F25" s="56">
        <v>5100</v>
      </c>
      <c r="G25" s="58">
        <f t="shared" si="0"/>
        <v>1.02</v>
      </c>
      <c r="H25" s="8"/>
    </row>
    <row r="26" spans="2:8" ht="10.5">
      <c r="B26" s="7"/>
      <c r="C26" s="14">
        <f t="shared" si="1"/>
        <v>19</v>
      </c>
      <c r="D26" s="55" t="s">
        <v>106</v>
      </c>
      <c r="E26" s="56">
        <v>2000</v>
      </c>
      <c r="F26" s="56">
        <v>2200</v>
      </c>
      <c r="G26" s="58">
        <f t="shared" si="0"/>
        <v>1.1</v>
      </c>
      <c r="H26" s="8"/>
    </row>
    <row r="27" spans="2:8" ht="10.5">
      <c r="B27" s="7"/>
      <c r="C27" s="14">
        <f t="shared" si="1"/>
        <v>20</v>
      </c>
      <c r="D27" s="55" t="s">
        <v>107</v>
      </c>
      <c r="E27" s="56">
        <v>21000</v>
      </c>
      <c r="F27" s="56">
        <v>25000</v>
      </c>
      <c r="G27" s="58">
        <f t="shared" si="0"/>
        <v>1.19048</v>
      </c>
      <c r="H27" s="8"/>
    </row>
    <row r="28" spans="2:8" ht="10.5">
      <c r="B28" s="7"/>
      <c r="C28" s="14">
        <f t="shared" si="1"/>
        <v>21</v>
      </c>
      <c r="D28" s="55" t="s">
        <v>86</v>
      </c>
      <c r="E28" s="56">
        <v>45000</v>
      </c>
      <c r="F28" s="56">
        <v>48000</v>
      </c>
      <c r="G28" s="58">
        <f t="shared" si="0"/>
        <v>1.06667</v>
      </c>
      <c r="H28" s="8"/>
    </row>
    <row r="29" spans="2:8" ht="10.5">
      <c r="B29" s="7"/>
      <c r="C29" s="14">
        <f t="shared" si="1"/>
        <v>22</v>
      </c>
      <c r="D29" s="55" t="s">
        <v>87</v>
      </c>
      <c r="E29" s="56">
        <v>1440</v>
      </c>
      <c r="F29" s="56">
        <v>1580</v>
      </c>
      <c r="G29" s="58">
        <f t="shared" si="0"/>
        <v>1.09722</v>
      </c>
      <c r="H29" s="8"/>
    </row>
    <row r="30" spans="2:8" ht="10.5">
      <c r="B30" s="7"/>
      <c r="C30" s="14">
        <f t="shared" si="1"/>
        <v>23</v>
      </c>
      <c r="D30" s="55" t="s">
        <v>90</v>
      </c>
      <c r="E30" s="56">
        <v>48000</v>
      </c>
      <c r="F30" s="56">
        <v>52000</v>
      </c>
      <c r="G30" s="58">
        <f t="shared" si="0"/>
        <v>1.08333</v>
      </c>
      <c r="H30" s="8"/>
    </row>
    <row r="31" spans="2:8" ht="10.5">
      <c r="B31" s="7"/>
      <c r="C31" s="14">
        <f t="shared" si="1"/>
        <v>24</v>
      </c>
      <c r="D31" s="55" t="s">
        <v>4</v>
      </c>
      <c r="E31" s="57">
        <f>SUM(E3:E30)</f>
        <v>884099</v>
      </c>
      <c r="F31" s="57">
        <f>SUM(F3:F30)</f>
        <v>1027275</v>
      </c>
      <c r="G31" s="58">
        <f t="shared" si="0"/>
        <v>1.16195</v>
      </c>
      <c r="H31" s="8"/>
    </row>
    <row r="32" spans="2:8" ht="10.5">
      <c r="B32" s="7"/>
      <c r="C32" s="14">
        <f t="shared" si="1"/>
        <v>25</v>
      </c>
      <c r="D32" s="55" t="s">
        <v>91</v>
      </c>
      <c r="E32" s="71">
        <f>'расчет % ОПР'!E28</f>
        <v>1800000</v>
      </c>
      <c r="F32" s="71">
        <f>'расчет % ОПР'!F28</f>
        <v>2000000</v>
      </c>
      <c r="G32" s="58">
        <f t="shared" si="0"/>
        <v>1.11111</v>
      </c>
      <c r="H32" s="8"/>
    </row>
    <row r="33" spans="2:8" ht="10.5">
      <c r="B33" s="7"/>
      <c r="C33" s="14">
        <f t="shared" si="1"/>
        <v>26</v>
      </c>
      <c r="D33" s="55" t="s">
        <v>108</v>
      </c>
      <c r="E33" s="59">
        <f>ROUND(E31/E32,5)</f>
        <v>0.49117</v>
      </c>
      <c r="F33" s="59">
        <f>ROUND(F31/F32,5)</f>
        <v>0.51364</v>
      </c>
      <c r="G33" s="51"/>
      <c r="H33" s="8"/>
    </row>
    <row r="34" spans="2:48" ht="11.25" thickBot="1">
      <c r="B34" s="25"/>
      <c r="C34" s="26"/>
      <c r="D34" s="26"/>
      <c r="E34" s="26"/>
      <c r="F34" s="26"/>
      <c r="G34" s="26"/>
      <c r="H34" s="2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2:48" ht="10.5"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2:48" ht="10.5">
      <c r="L36" s="24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3:48" ht="10.5">
      <c r="C37" s="31"/>
      <c r="D37" s="31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3:48" ht="10.5">
      <c r="C38" s="31"/>
      <c r="D38" s="31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3:48" ht="10.5">
      <c r="C39" s="31"/>
      <c r="D39" s="62"/>
      <c r="J39" s="23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3:48" ht="10.5">
      <c r="C40" s="31"/>
      <c r="D40" s="31"/>
      <c r="L40" s="2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3:48" ht="10.5">
      <c r="C41" s="31"/>
      <c r="D41" s="31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3:48" ht="10.5">
      <c r="C42" s="31"/>
      <c r="D42" s="3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3:48" ht="10.5">
      <c r="C43" s="31"/>
      <c r="D43" s="31"/>
      <c r="L43" s="28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3:48" ht="10.5">
      <c r="C44" s="31"/>
      <c r="D44" s="31"/>
      <c r="L44" s="28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3:48" ht="10.5">
      <c r="C45" s="31"/>
      <c r="D45" s="31"/>
      <c r="L45" s="2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3:48" ht="10.5">
      <c r="C46" s="31"/>
      <c r="D46" s="31"/>
      <c r="L46" s="2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3:48" ht="10.5">
      <c r="C47" s="31"/>
      <c r="D47" s="31"/>
      <c r="L47" s="2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3:48" ht="10.5">
      <c r="C48" s="31"/>
      <c r="D48" s="31"/>
      <c r="L48" s="2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3:4" ht="10.5">
      <c r="C49" s="31"/>
      <c r="D49" s="31"/>
    </row>
  </sheetData>
  <sheetProtection/>
  <mergeCells count="2">
    <mergeCell ref="C4:G4"/>
    <mergeCell ref="C5:G5"/>
  </mergeCells>
  <hyperlinks>
    <hyperlink ref="J5" location="'Калькуляция (тр.режим)'!A1" display="Калькуляция стоимости 1 машино-часа (транспортный режим)"/>
    <hyperlink ref="J6" location="'Калькуляция(экскавация)'!A1" display="Калькуляция стоимости 1 машино-часа (транспортный режим)"/>
    <hyperlink ref="J7" location="'Калькуляция(погрузка)'!A1" display="Калькуляция стоимости 1 машино-часа (погрузка)"/>
    <hyperlink ref="J8" location="'Себестоимость(тр.режим)'!A1" display="Расчет производственной себестоимости 1 машино-часа (транспортный режим)"/>
    <hyperlink ref="J9" location="'Себестоимость(экскавация)'!A1" display="Расчет производственной себестоимости 1 машино-часа (экскавация)"/>
    <hyperlink ref="J10" location="'Себестоимость(погрузка)'!A1" display="Расчет производственной себестоимости 1 машино-часа (погрузка)"/>
    <hyperlink ref="J11" location="ГСМ!A1" display="Расчет затрат на топливо (ГСМ)"/>
    <hyperlink ref="J12" location="СМ!A1" display="Расчет затрат на смазочные материалы (СМ)"/>
    <hyperlink ref="J13" location="ЗП!A1" display="Расчет затрат на заработную плату водителей "/>
    <hyperlink ref="J14" location="амортизация!A1" display="Расчет амортизационных отчислений"/>
    <hyperlink ref="J15" location="'расчет % ОПР'!A1" display="Расчет процента общепроизводственных расходов"/>
    <hyperlink ref="J16" location="'расчет % ОХР'!A1" display="Расчет процента общехозяйственных расходов"/>
    <hyperlink ref="J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79.140625" style="1" customWidth="1"/>
    <col min="5" max="5" width="3.140625" style="1" customWidth="1"/>
    <col min="6" max="6" width="2.00390625" style="1" customWidth="1"/>
    <col min="7" max="7" width="53.57421875" style="1" customWidth="1"/>
    <col min="8" max="16384" width="9.140625" style="1" customWidth="1"/>
  </cols>
  <sheetData>
    <row r="1" spans="1:2" ht="11.25" thickBot="1">
      <c r="A1" s="1"/>
      <c r="B1" s="2" t="s">
        <v>0</v>
      </c>
    </row>
    <row r="2" spans="2:5" ht="10.5">
      <c r="B2" s="4"/>
      <c r="C2" s="5"/>
      <c r="D2" s="5"/>
      <c r="E2" s="6"/>
    </row>
    <row r="3" spans="2:5" ht="14.25">
      <c r="B3" s="7"/>
      <c r="C3" s="112" t="s">
        <v>117</v>
      </c>
      <c r="D3" s="112"/>
      <c r="E3" s="8"/>
    </row>
    <row r="4" spans="2:5" ht="10.5">
      <c r="B4" s="7"/>
      <c r="C4" s="10"/>
      <c r="D4" s="10"/>
      <c r="E4" s="8"/>
    </row>
    <row r="5" spans="2:7" ht="15">
      <c r="B5" s="7"/>
      <c r="C5" s="12" t="s">
        <v>1</v>
      </c>
      <c r="D5" s="12" t="s">
        <v>116</v>
      </c>
      <c r="E5" s="8"/>
      <c r="G5" s="68" t="s">
        <v>175</v>
      </c>
    </row>
    <row r="6" spans="2:7" ht="16.5" customHeight="1">
      <c r="B6" s="7"/>
      <c r="C6" s="14">
        <v>1</v>
      </c>
      <c r="D6" s="37" t="s">
        <v>164</v>
      </c>
      <c r="E6" s="8"/>
      <c r="F6" s="67"/>
      <c r="G6" s="68" t="s">
        <v>176</v>
      </c>
    </row>
    <row r="7" spans="2:7" ht="16.5" customHeight="1">
      <c r="B7" s="7"/>
      <c r="C7" s="14">
        <v>2</v>
      </c>
      <c r="D7" s="37" t="s">
        <v>165</v>
      </c>
      <c r="E7" s="8"/>
      <c r="F7" s="67"/>
      <c r="G7" s="68" t="s">
        <v>177</v>
      </c>
    </row>
    <row r="8" spans="2:7" ht="16.5" customHeight="1">
      <c r="B8" s="7"/>
      <c r="C8" s="14">
        <v>3</v>
      </c>
      <c r="D8" s="37" t="s">
        <v>166</v>
      </c>
      <c r="E8" s="8"/>
      <c r="F8" s="67"/>
      <c r="G8" s="68" t="s">
        <v>178</v>
      </c>
    </row>
    <row r="9" spans="2:7" ht="16.5" customHeight="1">
      <c r="B9" s="7"/>
      <c r="C9" s="14">
        <v>4</v>
      </c>
      <c r="D9" s="37" t="s">
        <v>167</v>
      </c>
      <c r="E9" s="8"/>
      <c r="F9" s="67"/>
      <c r="G9" s="68" t="s">
        <v>179</v>
      </c>
    </row>
    <row r="10" spans="2:7" ht="16.5" customHeight="1">
      <c r="B10" s="7"/>
      <c r="C10" s="14">
        <v>5</v>
      </c>
      <c r="D10" s="37" t="s">
        <v>168</v>
      </c>
      <c r="E10" s="8"/>
      <c r="F10" s="67"/>
      <c r="G10" s="68" t="s">
        <v>180</v>
      </c>
    </row>
    <row r="11" spans="2:7" ht="16.5" customHeight="1">
      <c r="B11" s="7"/>
      <c r="C11" s="14">
        <v>6</v>
      </c>
      <c r="D11" s="37" t="s">
        <v>169</v>
      </c>
      <c r="E11" s="8"/>
      <c r="F11" s="67"/>
      <c r="G11" s="68" t="s">
        <v>181</v>
      </c>
    </row>
    <row r="12" spans="2:7" ht="16.5" customHeight="1">
      <c r="B12" s="7"/>
      <c r="C12" s="14">
        <v>7</v>
      </c>
      <c r="D12" s="37"/>
      <c r="E12" s="8"/>
      <c r="F12" s="67"/>
      <c r="G12" s="68" t="s">
        <v>183</v>
      </c>
    </row>
    <row r="13" spans="2:7" ht="16.5" customHeight="1">
      <c r="B13" s="7"/>
      <c r="C13" s="14">
        <v>8</v>
      </c>
      <c r="D13" s="37"/>
      <c r="E13" s="8"/>
      <c r="F13" s="67"/>
      <c r="G13" s="68" t="s">
        <v>184</v>
      </c>
    </row>
    <row r="14" spans="2:7" ht="16.5" customHeight="1">
      <c r="B14" s="7"/>
      <c r="C14" s="14">
        <v>9</v>
      </c>
      <c r="D14" s="40"/>
      <c r="E14" s="8"/>
      <c r="F14" s="67"/>
      <c r="G14" s="68" t="s">
        <v>118</v>
      </c>
    </row>
    <row r="15" spans="2:7" ht="16.5" customHeight="1">
      <c r="B15" s="7"/>
      <c r="C15" s="14">
        <v>10</v>
      </c>
      <c r="D15" s="40"/>
      <c r="E15" s="8"/>
      <c r="F15" s="67"/>
      <c r="G15" s="68" t="s">
        <v>92</v>
      </c>
    </row>
    <row r="16" spans="2:7" ht="16.5" customHeight="1">
      <c r="B16" s="7"/>
      <c r="C16" s="14">
        <v>11</v>
      </c>
      <c r="D16" s="40"/>
      <c r="E16" s="8"/>
      <c r="F16" s="67"/>
      <c r="G16" s="68" t="s">
        <v>108</v>
      </c>
    </row>
    <row r="17" spans="2:7" ht="16.5" customHeight="1">
      <c r="B17" s="7"/>
      <c r="C17" s="14">
        <v>12</v>
      </c>
      <c r="D17" s="40"/>
      <c r="E17" s="8"/>
      <c r="F17" s="67"/>
      <c r="G17" s="68" t="s">
        <v>117</v>
      </c>
    </row>
    <row r="18" spans="2:6" ht="16.5" customHeight="1">
      <c r="B18" s="7"/>
      <c r="C18" s="14">
        <v>13</v>
      </c>
      <c r="D18" s="40"/>
      <c r="E18" s="8"/>
      <c r="F18" s="67"/>
    </row>
    <row r="19" spans="2:6" ht="16.5" customHeight="1">
      <c r="B19" s="7"/>
      <c r="C19" s="14">
        <v>14</v>
      </c>
      <c r="D19" s="40"/>
      <c r="E19" s="8"/>
      <c r="F19" s="67"/>
    </row>
    <row r="20" spans="2:6" ht="16.5" customHeight="1">
      <c r="B20" s="7"/>
      <c r="C20" s="14">
        <v>15</v>
      </c>
      <c r="D20" s="40"/>
      <c r="E20" s="8"/>
      <c r="F20" s="67"/>
    </row>
    <row r="21" spans="2:6" ht="16.5" customHeight="1">
      <c r="B21" s="7"/>
      <c r="C21" s="14">
        <v>16</v>
      </c>
      <c r="D21" s="40"/>
      <c r="E21" s="8"/>
      <c r="F21" s="67"/>
    </row>
    <row r="22" spans="2:6" ht="16.5" customHeight="1">
      <c r="B22" s="7"/>
      <c r="C22" s="14">
        <v>17</v>
      </c>
      <c r="D22" s="40"/>
      <c r="E22" s="8"/>
      <c r="F22" s="67"/>
    </row>
    <row r="23" spans="2:6" ht="16.5" customHeight="1">
      <c r="B23" s="7"/>
      <c r="C23" s="14">
        <v>18</v>
      </c>
      <c r="D23" s="40"/>
      <c r="E23" s="8"/>
      <c r="F23" s="67"/>
    </row>
    <row r="24" spans="2:6" ht="16.5" customHeight="1">
      <c r="B24" s="7"/>
      <c r="C24" s="14">
        <v>19</v>
      </c>
      <c r="D24" s="40"/>
      <c r="E24" s="8"/>
      <c r="F24" s="67"/>
    </row>
    <row r="25" spans="2:44" ht="11.25" thickBot="1">
      <c r="B25" s="25"/>
      <c r="C25" s="26"/>
      <c r="D25" s="26"/>
      <c r="E25" s="27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8:44" ht="10.5"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8:44" ht="10.5">
      <c r="H27" s="2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0"/>
      <c r="AE27" s="30"/>
      <c r="AF27" s="30"/>
      <c r="AG27" s="30"/>
      <c r="AH27" s="30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3:44" ht="10.5">
      <c r="C28" s="31"/>
      <c r="D28" s="31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0"/>
      <c r="AE28" s="30"/>
      <c r="AF28" s="30"/>
      <c r="AG28" s="30"/>
      <c r="AH28" s="30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3:44" ht="10.5">
      <c r="C29" s="31"/>
      <c r="D29" s="31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30"/>
      <c r="AE29" s="30"/>
      <c r="AF29" s="30"/>
      <c r="AG29" s="30"/>
      <c r="AH29" s="30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3:44" ht="10.5">
      <c r="C30" s="31"/>
      <c r="D30" s="31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0"/>
      <c r="AE30" s="30"/>
      <c r="AF30" s="30"/>
      <c r="AG30" s="30"/>
      <c r="AH30" s="30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3:44" ht="10.5">
      <c r="C31" s="31"/>
      <c r="D31" s="31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30"/>
      <c r="AE31" s="30"/>
      <c r="AF31" s="30"/>
      <c r="AG31" s="30"/>
      <c r="AH31" s="30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3:44" ht="10.5">
      <c r="C32" s="31"/>
      <c r="D32" s="31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30"/>
      <c r="AE32" s="30"/>
      <c r="AF32" s="30"/>
      <c r="AG32" s="30"/>
      <c r="AH32" s="30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3:44" ht="10.5">
      <c r="C33" s="31"/>
      <c r="D33" s="31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30"/>
      <c r="AE33" s="30"/>
      <c r="AF33" s="30"/>
      <c r="AG33" s="30"/>
      <c r="AH33" s="30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3:44" ht="10.5">
      <c r="C34" s="31"/>
      <c r="D34" s="31"/>
      <c r="H34" s="2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3:44" ht="10.5">
      <c r="C35" s="31"/>
      <c r="D35" s="31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3:44" ht="10.5">
      <c r="C36" s="31"/>
      <c r="D36" s="31"/>
      <c r="H36" s="2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3:44" ht="10.5">
      <c r="C37" s="31"/>
      <c r="D37" s="31"/>
      <c r="H37" s="2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3:44" ht="10.5">
      <c r="C38" s="31"/>
      <c r="D38" s="31"/>
      <c r="H38" s="2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3:44" ht="10.5">
      <c r="C39" s="31"/>
      <c r="D39" s="31"/>
      <c r="G39" s="23"/>
      <c r="H39" s="28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3:4" ht="10.5">
      <c r="C40" s="31"/>
      <c r="D40" s="31"/>
    </row>
  </sheetData>
  <sheetProtection/>
  <mergeCells count="1">
    <mergeCell ref="C3:D3"/>
  </mergeCells>
  <hyperlinks>
    <hyperlink ref="G5" location="'Калькуляция (тр.режим)'!A1" display="Калькуляция стоимости 1 машино-часа (транспортный режим)"/>
    <hyperlink ref="G6" location="'Калькуляция(экскавация)'!A1" display="Калькуляция стоимости 1 машино-часа (транспортный режим)"/>
    <hyperlink ref="G7" location="'Калькуляция(погрузка)'!A1" display="Калькуляция стоимости 1 машино-часа (погрузка)"/>
    <hyperlink ref="G8" location="'Себестоимость(тр.режим)'!A1" display="Расчет производственной себестоимости 1 машино-часа (транспортный режим)"/>
    <hyperlink ref="G9" location="'Себестоимость(экскавация)'!A1" display="Расчет производственной себестоимости 1 машино-часа (экскавация)"/>
    <hyperlink ref="G10" location="'Себестоимость(погрузка)'!A1" display="Расчет производственной себестоимости 1 машино-часа (погрузка)"/>
    <hyperlink ref="G11" location="ГСМ!A1" display="Расчет затрат на топливо (ГСМ)"/>
    <hyperlink ref="G12" location="СМ!A1" display="Расчет затрат на смазочные материалы (СМ)"/>
    <hyperlink ref="G13" location="ЗП!A1" display="Расчет затрат на заработную плату водителей "/>
    <hyperlink ref="G14" location="амортизация!A1" display="Расчет амортизационных отчислений"/>
    <hyperlink ref="G15" location="'расчет % ОПР'!A1" display="Расчет процента общепроизводственных расходов"/>
    <hyperlink ref="G16" location="'расчет % ОХР'!A1" display="Расчет процента общехозяйственных расходов"/>
    <hyperlink ref="G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97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" min="1" max="6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X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8.421875" style="1" customWidth="1"/>
    <col min="9" max="9" width="16.8515625" style="1" customWidth="1"/>
    <col min="10" max="10" width="13.8515625" style="1" customWidth="1"/>
    <col min="11" max="11" width="4.140625" style="1" customWidth="1"/>
    <col min="12" max="12" width="2.00390625" style="1" customWidth="1"/>
    <col min="13" max="13" width="53.57421875" style="1" customWidth="1"/>
    <col min="14" max="16384" width="9.140625" style="1" customWidth="1"/>
  </cols>
  <sheetData>
    <row r="1" spans="1:2" ht="11.25" thickBot="1">
      <c r="A1" s="1"/>
      <c r="B1" s="2" t="s">
        <v>0</v>
      </c>
    </row>
    <row r="2" spans="2:11" ht="10.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ht="10.5">
      <c r="B3" s="7"/>
      <c r="C3" s="34"/>
      <c r="D3" s="34"/>
      <c r="E3" s="34"/>
      <c r="F3" s="34"/>
      <c r="G3" s="34"/>
      <c r="H3" s="34" t="s">
        <v>7</v>
      </c>
      <c r="I3" s="34"/>
      <c r="J3" s="34"/>
      <c r="K3" s="8"/>
    </row>
    <row r="4" spans="2:11" ht="10.5">
      <c r="B4" s="7"/>
      <c r="C4" s="34"/>
      <c r="D4" s="34"/>
      <c r="E4" s="34"/>
      <c r="F4" s="34"/>
      <c r="G4" s="34"/>
      <c r="H4" s="34" t="str">
        <f>'Калькуляция (тр.режим)'!H4</f>
        <v>директор РДУП "Автомобильный парк № 555</v>
      </c>
      <c r="I4" s="63"/>
      <c r="J4" s="34"/>
      <c r="K4" s="8"/>
    </row>
    <row r="5" spans="2:13" ht="15">
      <c r="B5" s="7"/>
      <c r="C5" s="34"/>
      <c r="D5" s="34"/>
      <c r="E5" s="34"/>
      <c r="F5" s="34"/>
      <c r="G5" s="34"/>
      <c r="H5" s="35"/>
      <c r="I5" s="34"/>
      <c r="J5" s="36" t="s">
        <v>16</v>
      </c>
      <c r="K5" s="54"/>
      <c r="M5" s="68" t="s">
        <v>175</v>
      </c>
    </row>
    <row r="6" spans="2:13" ht="15">
      <c r="B6" s="7"/>
      <c r="C6" s="34"/>
      <c r="D6" s="34"/>
      <c r="E6" s="34"/>
      <c r="F6" s="34"/>
      <c r="G6" s="34"/>
      <c r="H6" s="34" t="str">
        <f>'Калькуляция (тр.режим)'!H6</f>
        <v>"_____" ______________ 20___ г.</v>
      </c>
      <c r="I6" s="34" t="str">
        <f>'Калькуляция (тр.режим)'!I6</f>
        <v>"_____" ______________ 20___ г.</v>
      </c>
      <c r="J6" s="36"/>
      <c r="K6" s="54"/>
      <c r="M6" s="68" t="s">
        <v>176</v>
      </c>
    </row>
    <row r="7" spans="2:13" ht="15">
      <c r="B7" s="7"/>
      <c r="C7" s="34"/>
      <c r="D7" s="34"/>
      <c r="E7" s="34"/>
      <c r="F7" s="34"/>
      <c r="G7" s="34"/>
      <c r="H7" s="36"/>
      <c r="I7" s="36"/>
      <c r="J7" s="36"/>
      <c r="K7" s="8"/>
      <c r="M7" s="68" t="s">
        <v>177</v>
      </c>
    </row>
    <row r="8" spans="2:13" ht="15">
      <c r="B8" s="7"/>
      <c r="C8" s="80" t="s">
        <v>13</v>
      </c>
      <c r="D8" s="80"/>
      <c r="E8" s="80"/>
      <c r="F8" s="80"/>
      <c r="G8" s="80"/>
      <c r="H8" s="80"/>
      <c r="I8" s="80"/>
      <c r="J8" s="80"/>
      <c r="K8" s="8"/>
      <c r="M8" s="68" t="s">
        <v>178</v>
      </c>
    </row>
    <row r="9" spans="2:13" ht="15">
      <c r="B9" s="7"/>
      <c r="C9" s="81" t="s">
        <v>133</v>
      </c>
      <c r="D9" s="81"/>
      <c r="E9" s="81"/>
      <c r="F9" s="81"/>
      <c r="G9" s="81"/>
      <c r="H9" s="81"/>
      <c r="I9" s="81"/>
      <c r="J9" s="81"/>
      <c r="K9" s="8"/>
      <c r="M9" s="68" t="s">
        <v>179</v>
      </c>
    </row>
    <row r="10" spans="2:13" ht="26.25" customHeight="1">
      <c r="B10" s="7"/>
      <c r="C10" s="82" t="str">
        <f>'Калькуляция (тр.режим)'!C10:J10</f>
        <v>Экскаваторы колесные одноковшовые с ковшом вместимостью до 0,10 куб.м   </v>
      </c>
      <c r="D10" s="82"/>
      <c r="E10" s="82"/>
      <c r="F10" s="82"/>
      <c r="G10" s="82"/>
      <c r="H10" s="82"/>
      <c r="I10" s="82"/>
      <c r="J10" s="82"/>
      <c r="K10" s="8"/>
      <c r="M10" s="68" t="s">
        <v>180</v>
      </c>
    </row>
    <row r="11" spans="2:13" ht="15">
      <c r="B11" s="7"/>
      <c r="C11" s="9"/>
      <c r="D11" s="9"/>
      <c r="E11" s="9"/>
      <c r="F11" s="9"/>
      <c r="G11" s="9"/>
      <c r="H11" s="9"/>
      <c r="I11" s="9"/>
      <c r="J11" s="9"/>
      <c r="K11" s="8"/>
      <c r="M11" s="68" t="s">
        <v>181</v>
      </c>
    </row>
    <row r="12" spans="2:13" ht="15">
      <c r="B12" s="7"/>
      <c r="C12" s="10"/>
      <c r="D12" s="10"/>
      <c r="E12" s="10"/>
      <c r="F12" s="11"/>
      <c r="G12" s="11"/>
      <c r="H12" s="11"/>
      <c r="I12" s="11"/>
      <c r="J12" s="11"/>
      <c r="K12" s="8"/>
      <c r="M12" s="68" t="s">
        <v>183</v>
      </c>
    </row>
    <row r="13" spans="2:13" ht="15">
      <c r="B13" s="7"/>
      <c r="C13" s="91" t="s">
        <v>1</v>
      </c>
      <c r="D13" s="95" t="s">
        <v>14</v>
      </c>
      <c r="E13" s="96"/>
      <c r="F13" s="96"/>
      <c r="G13" s="97"/>
      <c r="H13" s="93" t="s">
        <v>15</v>
      </c>
      <c r="I13" s="86" t="s">
        <v>2</v>
      </c>
      <c r="J13" s="87"/>
      <c r="K13" s="8"/>
      <c r="M13" s="68" t="s">
        <v>184</v>
      </c>
    </row>
    <row r="14" spans="2:13" ht="15">
      <c r="B14" s="7"/>
      <c r="C14" s="92"/>
      <c r="D14" s="98"/>
      <c r="E14" s="99"/>
      <c r="F14" s="99"/>
      <c r="G14" s="100"/>
      <c r="H14" s="94"/>
      <c r="I14" s="13" t="s">
        <v>130</v>
      </c>
      <c r="J14" s="13" t="s">
        <v>131</v>
      </c>
      <c r="K14" s="8"/>
      <c r="M14" s="68" t="s">
        <v>118</v>
      </c>
    </row>
    <row r="15" spans="2:13" ht="12.75" customHeight="1">
      <c r="B15" s="7"/>
      <c r="C15" s="14">
        <v>1</v>
      </c>
      <c r="D15" s="83" t="s">
        <v>132</v>
      </c>
      <c r="E15" s="84"/>
      <c r="F15" s="84"/>
      <c r="G15" s="85"/>
      <c r="H15" s="38"/>
      <c r="I15" s="16">
        <f aca="true" t="shared" si="0" ref="I15:I21">J15</f>
        <v>7240</v>
      </c>
      <c r="J15" s="50">
        <f>'Себестоимость(экскавация)'!I31</f>
        <v>7240</v>
      </c>
      <c r="K15" s="8"/>
      <c r="L15" s="67"/>
      <c r="M15" s="68" t="s">
        <v>92</v>
      </c>
    </row>
    <row r="16" spans="2:13" ht="12.75" customHeight="1">
      <c r="B16" s="7"/>
      <c r="C16" s="14">
        <v>2</v>
      </c>
      <c r="D16" s="83" t="s">
        <v>17</v>
      </c>
      <c r="E16" s="84"/>
      <c r="F16" s="84"/>
      <c r="G16" s="85"/>
      <c r="H16" s="38">
        <f>'Калькуляция (тр.режим)'!H16</f>
        <v>0.15</v>
      </c>
      <c r="I16" s="16">
        <f t="shared" si="0"/>
        <v>1086</v>
      </c>
      <c r="J16" s="50">
        <f>ROUND(J15*H16,0)</f>
        <v>1086</v>
      </c>
      <c r="K16" s="8"/>
      <c r="L16" s="67"/>
      <c r="M16" s="68" t="s">
        <v>108</v>
      </c>
    </row>
    <row r="17" spans="2:13" ht="12.75" customHeight="1">
      <c r="B17" s="7"/>
      <c r="C17" s="14">
        <v>3</v>
      </c>
      <c r="D17" s="83" t="s">
        <v>18</v>
      </c>
      <c r="E17" s="84"/>
      <c r="F17" s="84"/>
      <c r="G17" s="85"/>
      <c r="H17" s="38">
        <f>'Калькуляция (тр.режим)'!H17</f>
        <v>0.34</v>
      </c>
      <c r="I17" s="16">
        <f t="shared" si="0"/>
        <v>2831</v>
      </c>
      <c r="J17" s="16">
        <f>ROUND(((J15+J16)*H17),0)</f>
        <v>2831</v>
      </c>
      <c r="K17" s="8"/>
      <c r="L17" s="67"/>
      <c r="M17" s="68" t="s">
        <v>117</v>
      </c>
    </row>
    <row r="18" spans="2:12" ht="12.75" customHeight="1">
      <c r="B18" s="7"/>
      <c r="C18" s="14">
        <v>4</v>
      </c>
      <c r="D18" s="83" t="s">
        <v>19</v>
      </c>
      <c r="E18" s="84"/>
      <c r="F18" s="84"/>
      <c r="G18" s="85"/>
      <c r="H18" s="38">
        <f>'Калькуляция (тр.режим)'!H18</f>
        <v>0.006</v>
      </c>
      <c r="I18" s="16">
        <f t="shared" si="0"/>
        <v>50</v>
      </c>
      <c r="J18" s="16">
        <f>ROUND(((J15+J16)*H18),0)</f>
        <v>50</v>
      </c>
      <c r="K18" s="8"/>
      <c r="L18" s="67"/>
    </row>
    <row r="19" spans="2:12" ht="12.75" customHeight="1">
      <c r="B19" s="7"/>
      <c r="C19" s="14">
        <v>5</v>
      </c>
      <c r="D19" s="83" t="s">
        <v>21</v>
      </c>
      <c r="E19" s="84"/>
      <c r="F19" s="84"/>
      <c r="G19" s="85"/>
      <c r="H19" s="38">
        <f>'Калькуляция (тр.режим)'!H19</f>
        <v>0.5143</v>
      </c>
      <c r="I19" s="16">
        <f t="shared" si="0"/>
        <v>3724</v>
      </c>
      <c r="J19" s="16">
        <f>ROUND(J15*H19,0)</f>
        <v>3724</v>
      </c>
      <c r="K19" s="8"/>
      <c r="L19" s="67"/>
    </row>
    <row r="20" spans="2:12" ht="12.75" customHeight="1">
      <c r="B20" s="7"/>
      <c r="C20" s="14">
        <v>6</v>
      </c>
      <c r="D20" s="83" t="s">
        <v>22</v>
      </c>
      <c r="E20" s="84"/>
      <c r="F20" s="84"/>
      <c r="G20" s="85"/>
      <c r="H20" s="38">
        <f>'Калькуляция (тр.режим)'!H20</f>
        <v>0.4077</v>
      </c>
      <c r="I20" s="16">
        <f t="shared" si="0"/>
        <v>2952</v>
      </c>
      <c r="J20" s="16">
        <f>ROUND(J15*H20,0)</f>
        <v>2952</v>
      </c>
      <c r="K20" s="8"/>
      <c r="L20" s="67"/>
    </row>
    <row r="21" spans="2:12" ht="12.75" customHeight="1">
      <c r="B21" s="7"/>
      <c r="C21" s="14">
        <v>7</v>
      </c>
      <c r="D21" s="83" t="s">
        <v>20</v>
      </c>
      <c r="E21" s="84"/>
      <c r="F21" s="84"/>
      <c r="G21" s="85"/>
      <c r="H21" s="60"/>
      <c r="I21" s="16">
        <f t="shared" si="0"/>
        <v>4982</v>
      </c>
      <c r="J21" s="50">
        <f>'Себестоимость(экскавация)'!M31</f>
        <v>4982</v>
      </c>
      <c r="K21" s="8"/>
      <c r="L21" s="67"/>
    </row>
    <row r="22" spans="2:12" ht="12.75" customHeight="1">
      <c r="B22" s="7"/>
      <c r="C22" s="14">
        <v>8</v>
      </c>
      <c r="D22" s="83" t="s">
        <v>129</v>
      </c>
      <c r="E22" s="84"/>
      <c r="F22" s="84"/>
      <c r="G22" s="85"/>
      <c r="H22" s="38"/>
      <c r="I22" s="15">
        <v>0</v>
      </c>
      <c r="J22" s="50">
        <f>'Себестоимость(экскавация)'!G31</f>
        <v>16986</v>
      </c>
      <c r="K22" s="8"/>
      <c r="L22" s="67"/>
    </row>
    <row r="23" spans="2:12" ht="12.75" customHeight="1">
      <c r="B23" s="7"/>
      <c r="C23" s="14">
        <v>9</v>
      </c>
      <c r="D23" s="83" t="s">
        <v>111</v>
      </c>
      <c r="E23" s="84"/>
      <c r="F23" s="84"/>
      <c r="G23" s="85"/>
      <c r="H23" s="38"/>
      <c r="I23" s="16">
        <f>J23</f>
        <v>1138</v>
      </c>
      <c r="J23" s="50">
        <f>'Себестоимость(экскавация)'!H31</f>
        <v>1138</v>
      </c>
      <c r="K23" s="8"/>
      <c r="L23" s="67"/>
    </row>
    <row r="24" spans="2:12" ht="12.75" customHeight="1">
      <c r="B24" s="7"/>
      <c r="C24" s="14">
        <v>11</v>
      </c>
      <c r="D24" s="83" t="s">
        <v>23</v>
      </c>
      <c r="E24" s="84"/>
      <c r="F24" s="84"/>
      <c r="G24" s="85"/>
      <c r="H24" s="38"/>
      <c r="I24" s="16">
        <f>SUM(I15:I23)</f>
        <v>24003</v>
      </c>
      <c r="J24" s="16">
        <f>SUM(J15:J23)</f>
        <v>40989</v>
      </c>
      <c r="K24" s="8"/>
      <c r="L24" s="67"/>
    </row>
    <row r="25" spans="2:12" ht="12.75" customHeight="1">
      <c r="B25" s="7"/>
      <c r="C25" s="14">
        <v>12</v>
      </c>
      <c r="D25" s="83" t="s">
        <v>24</v>
      </c>
      <c r="E25" s="84"/>
      <c r="F25" s="84"/>
      <c r="G25" s="85"/>
      <c r="H25" s="38">
        <f>'Калькуляция (тр.режим)'!H25</f>
        <v>0.0025</v>
      </c>
      <c r="I25" s="16">
        <f>J25</f>
        <v>102</v>
      </c>
      <c r="J25" s="16">
        <f>ROUND(J24*H25,0)</f>
        <v>102</v>
      </c>
      <c r="K25" s="8"/>
      <c r="L25" s="67"/>
    </row>
    <row r="26" spans="2:12" ht="12.75" customHeight="1">
      <c r="B26" s="7"/>
      <c r="C26" s="14">
        <v>13</v>
      </c>
      <c r="D26" s="83" t="s">
        <v>25</v>
      </c>
      <c r="E26" s="84"/>
      <c r="F26" s="84"/>
      <c r="G26" s="85"/>
      <c r="H26" s="38"/>
      <c r="I26" s="16">
        <f>I24+I25</f>
        <v>24105</v>
      </c>
      <c r="J26" s="16">
        <f>J24+J25</f>
        <v>41091</v>
      </c>
      <c r="K26" s="8"/>
      <c r="L26" s="67"/>
    </row>
    <row r="27" spans="2:12" ht="12.75" customHeight="1">
      <c r="B27" s="7"/>
      <c r="C27" s="14">
        <v>14</v>
      </c>
      <c r="D27" s="83" t="s">
        <v>26</v>
      </c>
      <c r="E27" s="84"/>
      <c r="F27" s="84"/>
      <c r="G27" s="85"/>
      <c r="H27" s="38">
        <f>'Калькуляция (тр.режим)'!H27</f>
        <v>0.23</v>
      </c>
      <c r="I27" s="16">
        <f>ROUND(I26*H27,0)</f>
        <v>5544</v>
      </c>
      <c r="J27" s="16">
        <f>ROUND(J26*H27,0)</f>
        <v>9451</v>
      </c>
      <c r="K27" s="8"/>
      <c r="L27" s="67"/>
    </row>
    <row r="28" spans="2:12" ht="12.75" customHeight="1">
      <c r="B28" s="7"/>
      <c r="C28" s="14">
        <v>15</v>
      </c>
      <c r="D28" s="83" t="s">
        <v>27</v>
      </c>
      <c r="E28" s="84"/>
      <c r="F28" s="84"/>
      <c r="G28" s="85"/>
      <c r="H28" s="38"/>
      <c r="I28" s="16">
        <f>I26+I27</f>
        <v>29649</v>
      </c>
      <c r="J28" s="16">
        <f>J26+J27</f>
        <v>50542</v>
      </c>
      <c r="K28" s="8"/>
      <c r="L28" s="67"/>
    </row>
    <row r="29" spans="2:12" ht="12.75" customHeight="1">
      <c r="B29" s="7"/>
      <c r="C29" s="14">
        <v>16</v>
      </c>
      <c r="D29" s="83" t="s">
        <v>28</v>
      </c>
      <c r="E29" s="84"/>
      <c r="F29" s="84"/>
      <c r="G29" s="85"/>
      <c r="H29" s="38">
        <f>'Калькуляция (тр.режим)'!H29</f>
        <v>0.2</v>
      </c>
      <c r="I29" s="16">
        <f>ROUND(I28*H29,0)</f>
        <v>5930</v>
      </c>
      <c r="J29" s="16">
        <f>ROUND(J28*H29,0)</f>
        <v>10108</v>
      </c>
      <c r="K29" s="8"/>
      <c r="L29" s="67"/>
    </row>
    <row r="30" spans="2:12" ht="12.75" customHeight="1">
      <c r="B30" s="7"/>
      <c r="C30" s="14">
        <v>17</v>
      </c>
      <c r="D30" s="83" t="s">
        <v>29</v>
      </c>
      <c r="E30" s="84"/>
      <c r="F30" s="84"/>
      <c r="G30" s="85"/>
      <c r="H30" s="38"/>
      <c r="I30" s="18">
        <f>I28+I29</f>
        <v>35579</v>
      </c>
      <c r="J30" s="18">
        <f>J28+J29</f>
        <v>60650</v>
      </c>
      <c r="K30" s="8"/>
      <c r="L30" s="67"/>
    </row>
    <row r="31" spans="2:12" ht="10.5">
      <c r="B31" s="7"/>
      <c r="C31" s="10"/>
      <c r="D31" s="10"/>
      <c r="E31" s="10"/>
      <c r="F31" s="11"/>
      <c r="G31" s="11"/>
      <c r="H31" s="11"/>
      <c r="I31" s="11"/>
      <c r="J31" s="11"/>
      <c r="K31" s="8"/>
      <c r="L31" s="67"/>
    </row>
    <row r="32" spans="2:11" ht="10.5">
      <c r="B32" s="7"/>
      <c r="C32" s="10"/>
      <c r="D32" s="10"/>
      <c r="E32" s="10"/>
      <c r="F32" s="11"/>
      <c r="G32" s="11"/>
      <c r="H32" s="11"/>
      <c r="I32" s="11"/>
      <c r="J32" s="11"/>
      <c r="K32" s="8"/>
    </row>
    <row r="33" spans="2:11" ht="10.5">
      <c r="B33" s="7"/>
      <c r="C33" s="10" t="s">
        <v>5</v>
      </c>
      <c r="D33" s="10"/>
      <c r="E33" s="89"/>
      <c r="F33" s="89"/>
      <c r="G33" s="90" t="str">
        <f>'Калькуляция (тр.режим)'!G33</f>
        <v>Петрова А.А.</v>
      </c>
      <c r="H33" s="90"/>
      <c r="I33" s="72"/>
      <c r="J33" s="11"/>
      <c r="K33" s="8"/>
    </row>
    <row r="34" spans="2:11" ht="10.5">
      <c r="B34" s="7"/>
      <c r="C34" s="10"/>
      <c r="D34" s="10"/>
      <c r="E34" s="88" t="s">
        <v>10</v>
      </c>
      <c r="F34" s="88"/>
      <c r="G34" s="64"/>
      <c r="H34" s="64"/>
      <c r="I34" s="64"/>
      <c r="J34" s="11"/>
      <c r="K34" s="8"/>
    </row>
    <row r="35" spans="2:11" ht="10.5">
      <c r="B35" s="7"/>
      <c r="C35" s="10" t="s">
        <v>6</v>
      </c>
      <c r="D35" s="10"/>
      <c r="E35" s="89"/>
      <c r="F35" s="89"/>
      <c r="G35" s="90" t="str">
        <f>'Калькуляция (тр.режим)'!G35</f>
        <v>Сидорова А.А.</v>
      </c>
      <c r="H35" s="90"/>
      <c r="I35" s="72"/>
      <c r="J35" s="11"/>
      <c r="K35" s="8"/>
    </row>
    <row r="36" spans="2:11" ht="10.5">
      <c r="B36" s="7"/>
      <c r="C36" s="10"/>
      <c r="D36" s="10"/>
      <c r="E36" s="88" t="s">
        <v>10</v>
      </c>
      <c r="F36" s="88"/>
      <c r="G36" s="11"/>
      <c r="H36" s="11"/>
      <c r="I36" s="11"/>
      <c r="J36" s="11"/>
      <c r="K36" s="8"/>
    </row>
    <row r="37" spans="2:11" ht="10.5">
      <c r="B37" s="7"/>
      <c r="C37" s="10"/>
      <c r="D37" s="10"/>
      <c r="E37" s="10"/>
      <c r="F37" s="11"/>
      <c r="G37" s="11"/>
      <c r="H37" s="11"/>
      <c r="I37" s="11"/>
      <c r="J37" s="11"/>
      <c r="K37" s="8"/>
    </row>
    <row r="38" spans="2:11" ht="10.5">
      <c r="B38" s="7"/>
      <c r="C38" s="10"/>
      <c r="D38" s="10"/>
      <c r="E38" s="10"/>
      <c r="F38" s="11"/>
      <c r="G38" s="11"/>
      <c r="H38" s="11"/>
      <c r="I38" s="11"/>
      <c r="J38" s="11"/>
      <c r="K38" s="8"/>
    </row>
    <row r="39" spans="1:50" s="23" customFormat="1" ht="10.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2:50" ht="11.25" thickBot="1">
      <c r="B40" s="25"/>
      <c r="C40" s="26"/>
      <c r="D40" s="26"/>
      <c r="E40" s="26"/>
      <c r="F40" s="26"/>
      <c r="G40" s="26"/>
      <c r="H40" s="26"/>
      <c r="I40" s="26"/>
      <c r="J40" s="26"/>
      <c r="K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4:50" ht="10.5"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4:50" ht="10.5">
      <c r="N42" s="2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30"/>
      <c r="AK47" s="30"/>
      <c r="AL47" s="30"/>
      <c r="AM47" s="30"/>
      <c r="AN47" s="30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3:50" ht="10.5">
      <c r="C48" s="31"/>
      <c r="D48" s="31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  <c r="AJ48" s="30"/>
      <c r="AK48" s="30"/>
      <c r="AL48" s="30"/>
      <c r="AM48" s="30"/>
      <c r="AN48" s="30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3:50" ht="10.5">
      <c r="C49" s="31"/>
      <c r="D49" s="31"/>
      <c r="N49" s="28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3:50" ht="10.5">
      <c r="C50" s="31"/>
      <c r="D50" s="31"/>
      <c r="N50" s="28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50" ht="10.5">
      <c r="C53" s="31"/>
      <c r="D53" s="31"/>
      <c r="N53" s="28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3:50" ht="10.5">
      <c r="C54" s="31"/>
      <c r="D54" s="31"/>
      <c r="N54" s="28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3:4" ht="10.5">
      <c r="C55" s="31"/>
      <c r="D55" s="31"/>
    </row>
  </sheetData>
  <sheetProtection/>
  <mergeCells count="29">
    <mergeCell ref="E34:F34"/>
    <mergeCell ref="E35:F35"/>
    <mergeCell ref="G35:H35"/>
    <mergeCell ref="E36:F36"/>
    <mergeCell ref="D28:G28"/>
    <mergeCell ref="D29:G29"/>
    <mergeCell ref="D30:G30"/>
    <mergeCell ref="E33:F33"/>
    <mergeCell ref="G33:H33"/>
    <mergeCell ref="D21:G21"/>
    <mergeCell ref="D22:G22"/>
    <mergeCell ref="D23:G23"/>
    <mergeCell ref="D24:G24"/>
    <mergeCell ref="D25:G25"/>
    <mergeCell ref="D26:G26"/>
    <mergeCell ref="D27:G27"/>
    <mergeCell ref="D15:G15"/>
    <mergeCell ref="D16:G16"/>
    <mergeCell ref="D17:G17"/>
    <mergeCell ref="D18:G18"/>
    <mergeCell ref="D19:G19"/>
    <mergeCell ref="D20:G20"/>
    <mergeCell ref="C8:J8"/>
    <mergeCell ref="C9:J9"/>
    <mergeCell ref="C10:J10"/>
    <mergeCell ref="C13:C14"/>
    <mergeCell ref="D13:G14"/>
    <mergeCell ref="H13:H14"/>
    <mergeCell ref="I13:J13"/>
  </mergeCells>
  <hyperlinks>
    <hyperlink ref="M5" location="'Калькуляция (тр.режим)'!A1" display="Калькуляция стоимости 1 машино-часа (транспортный режим)"/>
    <hyperlink ref="M6" location="'Калькуляция(экскавация)'!A1" display="Калькуляция стоимости 1 машино-часа (транспортный режим)"/>
    <hyperlink ref="M7" location="'Калькуляция(погрузка)'!A1" display="Калькуляция стоимости 1 машино-часа (погрузка)"/>
    <hyperlink ref="M8" location="'Себестоимость(тр.режим)'!A1" display="Расчет производственной себестоимости 1 машино-часа (транспортный режим)"/>
    <hyperlink ref="M9" location="'Себестоимость(экскавация)'!A1" display="Расчет производственной себестоимости 1 машино-часа (экскавация)"/>
    <hyperlink ref="M10" location="'Себестоимость(погрузка)'!A1" display="Расчет производственной себестоимости 1 машино-часа (погрузка)"/>
    <hyperlink ref="M11" location="ГСМ!A1" display="Расчет затрат на топливо (ГСМ)"/>
    <hyperlink ref="M12" location="СМ!A1" display="Расчет затрат на смазочные материалы (СМ)"/>
    <hyperlink ref="M13" location="ЗП!A1" display="Расчет затрат на заработную плату водителей "/>
    <hyperlink ref="M14" location="амортизация!A1" display="Расчет амортизационных отчислений"/>
    <hyperlink ref="M15" location="'расчет % ОПР'!A1" display="Расчет процента общепроизводственных расходов"/>
    <hyperlink ref="M16" location="'расчет % ОХР'!A1" display="Расчет процента общехозяйственных расходов"/>
    <hyperlink ref="M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X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8.421875" style="1" customWidth="1"/>
    <col min="9" max="9" width="16.8515625" style="1" customWidth="1"/>
    <col min="10" max="10" width="13.8515625" style="1" customWidth="1"/>
    <col min="11" max="11" width="4.140625" style="1" customWidth="1"/>
    <col min="12" max="12" width="2.00390625" style="1" customWidth="1"/>
    <col min="13" max="13" width="53.57421875" style="1" customWidth="1"/>
    <col min="14" max="16384" width="9.140625" style="1" customWidth="1"/>
  </cols>
  <sheetData>
    <row r="1" spans="1:2" ht="11.25" thickBot="1">
      <c r="A1" s="1"/>
      <c r="B1" s="2" t="s">
        <v>0</v>
      </c>
    </row>
    <row r="2" spans="2:11" ht="10.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ht="10.5">
      <c r="B3" s="7"/>
      <c r="C3" s="34"/>
      <c r="D3" s="34"/>
      <c r="E3" s="34"/>
      <c r="F3" s="34"/>
      <c r="G3" s="34"/>
      <c r="H3" s="34" t="s">
        <v>7</v>
      </c>
      <c r="I3" s="34"/>
      <c r="J3" s="34"/>
      <c r="K3" s="8"/>
    </row>
    <row r="4" spans="2:11" ht="10.5">
      <c r="B4" s="7"/>
      <c r="C4" s="34"/>
      <c r="D4" s="34"/>
      <c r="E4" s="34"/>
      <c r="F4" s="34"/>
      <c r="G4" s="34"/>
      <c r="H4" s="34" t="str">
        <f>'Калькуляция (тр.режим)'!H4</f>
        <v>директор РДУП "Автомобильный парк № 555</v>
      </c>
      <c r="I4" s="63"/>
      <c r="J4" s="34"/>
      <c r="K4" s="8"/>
    </row>
    <row r="5" spans="2:13" ht="15">
      <c r="B5" s="7"/>
      <c r="C5" s="34"/>
      <c r="D5" s="34"/>
      <c r="E5" s="34"/>
      <c r="F5" s="34"/>
      <c r="G5" s="34"/>
      <c r="H5" s="35"/>
      <c r="I5" s="34"/>
      <c r="J5" s="36" t="s">
        <v>16</v>
      </c>
      <c r="K5" s="54"/>
      <c r="M5" s="68" t="s">
        <v>175</v>
      </c>
    </row>
    <row r="6" spans="2:13" ht="15">
      <c r="B6" s="7"/>
      <c r="C6" s="34"/>
      <c r="D6" s="34"/>
      <c r="E6" s="34"/>
      <c r="F6" s="34"/>
      <c r="G6" s="34"/>
      <c r="H6" s="34" t="str">
        <f>'Калькуляция (тр.режим)'!H6</f>
        <v>"_____" ______________ 20___ г.</v>
      </c>
      <c r="I6" s="34" t="str">
        <f>'Калькуляция (тр.режим)'!I6</f>
        <v>"_____" ______________ 20___ г.</v>
      </c>
      <c r="J6" s="36"/>
      <c r="K6" s="54"/>
      <c r="M6" s="68" t="s">
        <v>176</v>
      </c>
    </row>
    <row r="7" spans="2:13" ht="15">
      <c r="B7" s="7"/>
      <c r="C7" s="34"/>
      <c r="D7" s="34"/>
      <c r="E7" s="34"/>
      <c r="F7" s="34"/>
      <c r="G7" s="34"/>
      <c r="H7" s="36"/>
      <c r="I7" s="36"/>
      <c r="J7" s="36"/>
      <c r="K7" s="8"/>
      <c r="M7" s="68" t="s">
        <v>177</v>
      </c>
    </row>
    <row r="8" spans="2:13" ht="15">
      <c r="B8" s="7"/>
      <c r="C8" s="80" t="s">
        <v>13</v>
      </c>
      <c r="D8" s="80"/>
      <c r="E8" s="80"/>
      <c r="F8" s="80"/>
      <c r="G8" s="80"/>
      <c r="H8" s="80"/>
      <c r="I8" s="80"/>
      <c r="J8" s="80"/>
      <c r="K8" s="8"/>
      <c r="M8" s="68" t="s">
        <v>178</v>
      </c>
    </row>
    <row r="9" spans="2:13" ht="15">
      <c r="B9" s="7"/>
      <c r="C9" s="81" t="s">
        <v>134</v>
      </c>
      <c r="D9" s="81"/>
      <c r="E9" s="81"/>
      <c r="F9" s="81"/>
      <c r="G9" s="81"/>
      <c r="H9" s="81"/>
      <c r="I9" s="81"/>
      <c r="J9" s="81"/>
      <c r="K9" s="8"/>
      <c r="M9" s="68" t="s">
        <v>179</v>
      </c>
    </row>
    <row r="10" spans="2:13" ht="26.25" customHeight="1">
      <c r="B10" s="7"/>
      <c r="C10" s="82" t="str">
        <f>'Калькуляция (тр.режим)'!C10:J10</f>
        <v>Экскаваторы колесные одноковшовые с ковшом вместимостью до 0,10 куб.м   </v>
      </c>
      <c r="D10" s="82"/>
      <c r="E10" s="82"/>
      <c r="F10" s="82"/>
      <c r="G10" s="82"/>
      <c r="H10" s="82"/>
      <c r="I10" s="82"/>
      <c r="J10" s="82"/>
      <c r="K10" s="8"/>
      <c r="M10" s="68" t="s">
        <v>180</v>
      </c>
    </row>
    <row r="11" spans="2:13" ht="15">
      <c r="B11" s="7"/>
      <c r="C11" s="9"/>
      <c r="D11" s="9"/>
      <c r="E11" s="9"/>
      <c r="F11" s="9"/>
      <c r="G11" s="9"/>
      <c r="H11" s="9"/>
      <c r="I11" s="9"/>
      <c r="J11" s="9"/>
      <c r="K11" s="8"/>
      <c r="M11" s="68" t="s">
        <v>181</v>
      </c>
    </row>
    <row r="12" spans="2:13" ht="15">
      <c r="B12" s="7"/>
      <c r="C12" s="10"/>
      <c r="D12" s="10"/>
      <c r="E12" s="10"/>
      <c r="F12" s="11"/>
      <c r="G12" s="11"/>
      <c r="H12" s="11"/>
      <c r="I12" s="11"/>
      <c r="J12" s="11"/>
      <c r="K12" s="8"/>
      <c r="M12" s="68" t="s">
        <v>183</v>
      </c>
    </row>
    <row r="13" spans="2:13" ht="15">
      <c r="B13" s="7"/>
      <c r="C13" s="91" t="s">
        <v>1</v>
      </c>
      <c r="D13" s="95" t="s">
        <v>14</v>
      </c>
      <c r="E13" s="96"/>
      <c r="F13" s="96"/>
      <c r="G13" s="97"/>
      <c r="H13" s="93" t="s">
        <v>15</v>
      </c>
      <c r="I13" s="86" t="s">
        <v>2</v>
      </c>
      <c r="J13" s="87"/>
      <c r="K13" s="8"/>
      <c r="M13" s="68" t="s">
        <v>184</v>
      </c>
    </row>
    <row r="14" spans="2:13" ht="15">
      <c r="B14" s="7"/>
      <c r="C14" s="92"/>
      <c r="D14" s="98"/>
      <c r="E14" s="99"/>
      <c r="F14" s="99"/>
      <c r="G14" s="100"/>
      <c r="H14" s="94"/>
      <c r="I14" s="13" t="s">
        <v>130</v>
      </c>
      <c r="J14" s="13" t="s">
        <v>131</v>
      </c>
      <c r="K14" s="8"/>
      <c r="M14" s="68" t="s">
        <v>118</v>
      </c>
    </row>
    <row r="15" spans="2:13" ht="15">
      <c r="B15" s="7"/>
      <c r="C15" s="14">
        <v>1</v>
      </c>
      <c r="D15" s="83" t="s">
        <v>132</v>
      </c>
      <c r="E15" s="84"/>
      <c r="F15" s="84"/>
      <c r="G15" s="85"/>
      <c r="H15" s="38"/>
      <c r="I15" s="16">
        <f aca="true" t="shared" si="0" ref="I15:I21">J15</f>
        <v>7240</v>
      </c>
      <c r="J15" s="16">
        <f>'Себестоимость(погрузка)'!I31</f>
        <v>7240</v>
      </c>
      <c r="K15" s="8"/>
      <c r="L15" s="67"/>
      <c r="M15" s="68" t="s">
        <v>92</v>
      </c>
    </row>
    <row r="16" spans="2:13" ht="15">
      <c r="B16" s="7"/>
      <c r="C16" s="14">
        <v>2</v>
      </c>
      <c r="D16" s="83" t="s">
        <v>17</v>
      </c>
      <c r="E16" s="84"/>
      <c r="F16" s="84"/>
      <c r="G16" s="85"/>
      <c r="H16" s="38">
        <f>'Калькуляция (тр.режим)'!H16</f>
        <v>0.15</v>
      </c>
      <c r="I16" s="16">
        <f t="shared" si="0"/>
        <v>1086</v>
      </c>
      <c r="J16" s="16">
        <f>ROUND(J15*H16,0)</f>
        <v>1086</v>
      </c>
      <c r="K16" s="8"/>
      <c r="L16" s="67"/>
      <c r="M16" s="68" t="s">
        <v>108</v>
      </c>
    </row>
    <row r="17" spans="2:13" ht="15">
      <c r="B17" s="7"/>
      <c r="C17" s="14">
        <v>3</v>
      </c>
      <c r="D17" s="83" t="s">
        <v>18</v>
      </c>
      <c r="E17" s="84"/>
      <c r="F17" s="84"/>
      <c r="G17" s="85"/>
      <c r="H17" s="38">
        <f>'Калькуляция (тр.режим)'!H17</f>
        <v>0.34</v>
      </c>
      <c r="I17" s="16">
        <f t="shared" si="0"/>
        <v>2831</v>
      </c>
      <c r="J17" s="16">
        <f>ROUND(((J15+J16)*H17),0)</f>
        <v>2831</v>
      </c>
      <c r="K17" s="8"/>
      <c r="L17" s="67"/>
      <c r="M17" s="68" t="s">
        <v>117</v>
      </c>
    </row>
    <row r="18" spans="2:12" ht="10.5">
      <c r="B18" s="7"/>
      <c r="C18" s="14">
        <v>4</v>
      </c>
      <c r="D18" s="83" t="s">
        <v>19</v>
      </c>
      <c r="E18" s="84"/>
      <c r="F18" s="84"/>
      <c r="G18" s="85"/>
      <c r="H18" s="38">
        <f>'Калькуляция (тр.режим)'!H18</f>
        <v>0.006</v>
      </c>
      <c r="I18" s="16">
        <f t="shared" si="0"/>
        <v>50</v>
      </c>
      <c r="J18" s="16">
        <f>ROUND(((J15+J16)*H18),0)</f>
        <v>50</v>
      </c>
      <c r="K18" s="8"/>
      <c r="L18" s="67"/>
    </row>
    <row r="19" spans="2:12" ht="10.5">
      <c r="B19" s="7"/>
      <c r="C19" s="14">
        <v>5</v>
      </c>
      <c r="D19" s="83" t="s">
        <v>21</v>
      </c>
      <c r="E19" s="84"/>
      <c r="F19" s="84"/>
      <c r="G19" s="85"/>
      <c r="H19" s="38">
        <f>'Калькуляция (тр.режим)'!H19</f>
        <v>0.5143</v>
      </c>
      <c r="I19" s="16">
        <f t="shared" si="0"/>
        <v>3724</v>
      </c>
      <c r="J19" s="16">
        <f>ROUND(J15*H19,0)</f>
        <v>3724</v>
      </c>
      <c r="K19" s="8"/>
      <c r="L19" s="67"/>
    </row>
    <row r="20" spans="2:12" ht="10.5">
      <c r="B20" s="7"/>
      <c r="C20" s="14">
        <v>6</v>
      </c>
      <c r="D20" s="83" t="s">
        <v>22</v>
      </c>
      <c r="E20" s="84"/>
      <c r="F20" s="84"/>
      <c r="G20" s="85"/>
      <c r="H20" s="38">
        <f>'Калькуляция (тр.режим)'!H20</f>
        <v>0.4077</v>
      </c>
      <c r="I20" s="16">
        <f t="shared" si="0"/>
        <v>2952</v>
      </c>
      <c r="J20" s="16">
        <f>ROUND(J15*H20,0)</f>
        <v>2952</v>
      </c>
      <c r="K20" s="8"/>
      <c r="L20" s="67"/>
    </row>
    <row r="21" spans="2:12" ht="10.5">
      <c r="B21" s="7"/>
      <c r="C21" s="14">
        <v>7</v>
      </c>
      <c r="D21" s="83" t="s">
        <v>20</v>
      </c>
      <c r="E21" s="84"/>
      <c r="F21" s="84"/>
      <c r="G21" s="85"/>
      <c r="H21" s="60"/>
      <c r="I21" s="16">
        <f t="shared" si="0"/>
        <v>4982</v>
      </c>
      <c r="J21" s="50">
        <f>'Себестоимость(погрузка)'!M31</f>
        <v>4982</v>
      </c>
      <c r="K21" s="8"/>
      <c r="L21" s="67"/>
    </row>
    <row r="22" spans="2:12" ht="10.5">
      <c r="B22" s="7"/>
      <c r="C22" s="14">
        <v>8</v>
      </c>
      <c r="D22" s="83" t="s">
        <v>129</v>
      </c>
      <c r="E22" s="84"/>
      <c r="F22" s="84"/>
      <c r="G22" s="85"/>
      <c r="H22" s="38"/>
      <c r="I22" s="15">
        <v>0</v>
      </c>
      <c r="J22" s="50">
        <f>'Себестоимость(погрузка)'!G31</f>
        <v>18867</v>
      </c>
      <c r="K22" s="8"/>
      <c r="L22" s="67"/>
    </row>
    <row r="23" spans="2:12" ht="10.5">
      <c r="B23" s="7"/>
      <c r="C23" s="14">
        <v>9</v>
      </c>
      <c r="D23" s="83" t="s">
        <v>111</v>
      </c>
      <c r="E23" s="84"/>
      <c r="F23" s="84"/>
      <c r="G23" s="85"/>
      <c r="H23" s="38"/>
      <c r="I23" s="16">
        <f>J23</f>
        <v>1263</v>
      </c>
      <c r="J23" s="50">
        <f>'Себестоимость(погрузка)'!H31</f>
        <v>1263</v>
      </c>
      <c r="K23" s="8"/>
      <c r="L23" s="67"/>
    </row>
    <row r="24" spans="2:12" ht="10.5">
      <c r="B24" s="7"/>
      <c r="C24" s="14">
        <v>11</v>
      </c>
      <c r="D24" s="83" t="s">
        <v>23</v>
      </c>
      <c r="E24" s="84"/>
      <c r="F24" s="84"/>
      <c r="G24" s="85"/>
      <c r="H24" s="38"/>
      <c r="I24" s="16">
        <f>SUM(I15:I23)</f>
        <v>24128</v>
      </c>
      <c r="J24" s="16">
        <f>SUM(J15:J23)</f>
        <v>42995</v>
      </c>
      <c r="K24" s="8"/>
      <c r="L24" s="67"/>
    </row>
    <row r="25" spans="2:12" ht="10.5">
      <c r="B25" s="7"/>
      <c r="C25" s="14">
        <v>12</v>
      </c>
      <c r="D25" s="83" t="s">
        <v>24</v>
      </c>
      <c r="E25" s="84"/>
      <c r="F25" s="84"/>
      <c r="G25" s="85"/>
      <c r="H25" s="38">
        <f>'Калькуляция (тр.режим)'!H25</f>
        <v>0.0025</v>
      </c>
      <c r="I25" s="16">
        <f>J25</f>
        <v>107</v>
      </c>
      <c r="J25" s="16">
        <f>ROUND(J24*H25,0)</f>
        <v>107</v>
      </c>
      <c r="K25" s="8"/>
      <c r="L25" s="67"/>
    </row>
    <row r="26" spans="2:12" ht="10.5">
      <c r="B26" s="7"/>
      <c r="C26" s="14">
        <v>13</v>
      </c>
      <c r="D26" s="83" t="s">
        <v>25</v>
      </c>
      <c r="E26" s="84"/>
      <c r="F26" s="84"/>
      <c r="G26" s="85"/>
      <c r="H26" s="38"/>
      <c r="I26" s="16">
        <f>I24+I25</f>
        <v>24235</v>
      </c>
      <c r="J26" s="16">
        <f>J24+J25</f>
        <v>43102</v>
      </c>
      <c r="K26" s="8"/>
      <c r="L26" s="67"/>
    </row>
    <row r="27" spans="2:12" ht="10.5">
      <c r="B27" s="7"/>
      <c r="C27" s="14">
        <v>14</v>
      </c>
      <c r="D27" s="83" t="s">
        <v>26</v>
      </c>
      <c r="E27" s="84"/>
      <c r="F27" s="84"/>
      <c r="G27" s="85"/>
      <c r="H27" s="38">
        <f>'Калькуляция (тр.режим)'!H27</f>
        <v>0.23</v>
      </c>
      <c r="I27" s="16">
        <f>ROUND(I26*H27,0)</f>
        <v>5574</v>
      </c>
      <c r="J27" s="16">
        <f>ROUND(J26*H27,0)</f>
        <v>9913</v>
      </c>
      <c r="K27" s="8"/>
      <c r="L27" s="67"/>
    </row>
    <row r="28" spans="2:12" ht="10.5">
      <c r="B28" s="7"/>
      <c r="C28" s="14">
        <v>15</v>
      </c>
      <c r="D28" s="83" t="s">
        <v>27</v>
      </c>
      <c r="E28" s="84"/>
      <c r="F28" s="84"/>
      <c r="G28" s="85"/>
      <c r="H28" s="38"/>
      <c r="I28" s="16">
        <f>I26+I27</f>
        <v>29809</v>
      </c>
      <c r="J28" s="16">
        <f>J26+J27</f>
        <v>53015</v>
      </c>
      <c r="K28" s="8"/>
      <c r="L28" s="67"/>
    </row>
    <row r="29" spans="2:12" ht="10.5">
      <c r="B29" s="7"/>
      <c r="C29" s="14">
        <v>16</v>
      </c>
      <c r="D29" s="83" t="s">
        <v>28</v>
      </c>
      <c r="E29" s="84"/>
      <c r="F29" s="84"/>
      <c r="G29" s="85"/>
      <c r="H29" s="38">
        <f>'Калькуляция (тр.режим)'!H29</f>
        <v>0.2</v>
      </c>
      <c r="I29" s="16">
        <f>ROUND(I28*H29,0)</f>
        <v>5962</v>
      </c>
      <c r="J29" s="16">
        <f>ROUND(J28*H29,0)</f>
        <v>10603</v>
      </c>
      <c r="K29" s="8"/>
      <c r="L29" s="67"/>
    </row>
    <row r="30" spans="2:12" ht="10.5">
      <c r="B30" s="7"/>
      <c r="C30" s="14">
        <v>17</v>
      </c>
      <c r="D30" s="83" t="s">
        <v>29</v>
      </c>
      <c r="E30" s="84"/>
      <c r="F30" s="84"/>
      <c r="G30" s="85"/>
      <c r="H30" s="38"/>
      <c r="I30" s="18">
        <f>I28+I29</f>
        <v>35771</v>
      </c>
      <c r="J30" s="18">
        <f>J28+J29</f>
        <v>63618</v>
      </c>
      <c r="K30" s="8"/>
      <c r="L30" s="67"/>
    </row>
    <row r="31" spans="2:12" ht="10.5">
      <c r="B31" s="7"/>
      <c r="C31" s="10"/>
      <c r="D31" s="10"/>
      <c r="E31" s="10"/>
      <c r="F31" s="11"/>
      <c r="G31" s="11"/>
      <c r="H31" s="11"/>
      <c r="I31" s="11"/>
      <c r="J31" s="11"/>
      <c r="K31" s="8"/>
      <c r="L31" s="67"/>
    </row>
    <row r="32" spans="2:11" ht="10.5">
      <c r="B32" s="7"/>
      <c r="C32" s="10"/>
      <c r="D32" s="10"/>
      <c r="E32" s="10"/>
      <c r="F32" s="11"/>
      <c r="G32" s="11"/>
      <c r="H32" s="11"/>
      <c r="I32" s="11"/>
      <c r="J32" s="11"/>
      <c r="K32" s="8"/>
    </row>
    <row r="33" spans="2:11" ht="10.5">
      <c r="B33" s="7"/>
      <c r="C33" s="10" t="s">
        <v>5</v>
      </c>
      <c r="D33" s="10"/>
      <c r="E33" s="89"/>
      <c r="F33" s="89"/>
      <c r="G33" s="90" t="str">
        <f>'Калькуляция (тр.режим)'!G33</f>
        <v>Петрова А.А.</v>
      </c>
      <c r="H33" s="90"/>
      <c r="I33" s="72"/>
      <c r="J33" s="11"/>
      <c r="K33" s="8"/>
    </row>
    <row r="34" spans="2:11" ht="10.5">
      <c r="B34" s="7"/>
      <c r="C34" s="10"/>
      <c r="D34" s="10"/>
      <c r="E34" s="88" t="s">
        <v>10</v>
      </c>
      <c r="F34" s="88"/>
      <c r="G34" s="64"/>
      <c r="H34" s="64"/>
      <c r="I34" s="64"/>
      <c r="J34" s="11"/>
      <c r="K34" s="8"/>
    </row>
    <row r="35" spans="2:11" ht="10.5">
      <c r="B35" s="7"/>
      <c r="C35" s="10" t="s">
        <v>6</v>
      </c>
      <c r="D35" s="10"/>
      <c r="E35" s="89"/>
      <c r="F35" s="89"/>
      <c r="G35" s="90" t="str">
        <f>'Калькуляция (тр.режим)'!G35</f>
        <v>Сидорова А.А.</v>
      </c>
      <c r="H35" s="90"/>
      <c r="I35" s="72"/>
      <c r="J35" s="11"/>
      <c r="K35" s="8"/>
    </row>
    <row r="36" spans="2:11" ht="10.5">
      <c r="B36" s="7"/>
      <c r="C36" s="10"/>
      <c r="D36" s="10"/>
      <c r="E36" s="88" t="s">
        <v>10</v>
      </c>
      <c r="F36" s="88"/>
      <c r="G36" s="11"/>
      <c r="H36" s="11"/>
      <c r="I36" s="11"/>
      <c r="J36" s="11"/>
      <c r="K36" s="8"/>
    </row>
    <row r="37" spans="2:11" ht="10.5">
      <c r="B37" s="7"/>
      <c r="C37" s="10"/>
      <c r="D37" s="10"/>
      <c r="E37" s="10"/>
      <c r="F37" s="11"/>
      <c r="G37" s="11"/>
      <c r="H37" s="11"/>
      <c r="I37" s="11"/>
      <c r="J37" s="11"/>
      <c r="K37" s="8"/>
    </row>
    <row r="38" spans="2:11" ht="10.5">
      <c r="B38" s="7"/>
      <c r="C38" s="10"/>
      <c r="D38" s="10"/>
      <c r="E38" s="10"/>
      <c r="F38" s="11"/>
      <c r="G38" s="11"/>
      <c r="H38" s="11"/>
      <c r="I38" s="11"/>
      <c r="J38" s="11"/>
      <c r="K38" s="8"/>
    </row>
    <row r="39" spans="1:50" s="23" customFormat="1" ht="10.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2:50" ht="11.25" thickBot="1">
      <c r="B40" s="25"/>
      <c r="C40" s="26"/>
      <c r="D40" s="26"/>
      <c r="E40" s="26"/>
      <c r="F40" s="26"/>
      <c r="G40" s="26"/>
      <c r="H40" s="26"/>
      <c r="I40" s="26"/>
      <c r="J40" s="26"/>
      <c r="K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4:50" ht="10.5"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4:50" ht="10.5">
      <c r="N42" s="2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30"/>
      <c r="AK47" s="30"/>
      <c r="AL47" s="30"/>
      <c r="AM47" s="30"/>
      <c r="AN47" s="30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3:50" ht="10.5">
      <c r="C48" s="31"/>
      <c r="D48" s="31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  <c r="AJ48" s="30"/>
      <c r="AK48" s="30"/>
      <c r="AL48" s="30"/>
      <c r="AM48" s="30"/>
      <c r="AN48" s="30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3:50" ht="10.5">
      <c r="C49" s="31"/>
      <c r="D49" s="31"/>
      <c r="N49" s="28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3:50" ht="10.5">
      <c r="C50" s="31"/>
      <c r="D50" s="31"/>
      <c r="N50" s="28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50" ht="10.5">
      <c r="C53" s="31"/>
      <c r="D53" s="31"/>
      <c r="N53" s="28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3:50" ht="10.5">
      <c r="C54" s="31"/>
      <c r="D54" s="31"/>
      <c r="N54" s="28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3:4" ht="10.5">
      <c r="C55" s="31"/>
      <c r="D55" s="31"/>
    </row>
  </sheetData>
  <sheetProtection/>
  <mergeCells count="29">
    <mergeCell ref="E34:F34"/>
    <mergeCell ref="E35:F35"/>
    <mergeCell ref="G35:H35"/>
    <mergeCell ref="E36:F36"/>
    <mergeCell ref="D28:G28"/>
    <mergeCell ref="D29:G29"/>
    <mergeCell ref="D30:G30"/>
    <mergeCell ref="E33:F33"/>
    <mergeCell ref="G33:H33"/>
    <mergeCell ref="D21:G21"/>
    <mergeCell ref="D22:G22"/>
    <mergeCell ref="D23:G23"/>
    <mergeCell ref="D24:G24"/>
    <mergeCell ref="D25:G25"/>
    <mergeCell ref="D26:G26"/>
    <mergeCell ref="D27:G27"/>
    <mergeCell ref="D15:G15"/>
    <mergeCell ref="D16:G16"/>
    <mergeCell ref="D17:G17"/>
    <mergeCell ref="D18:G18"/>
    <mergeCell ref="D19:G19"/>
    <mergeCell ref="D20:G20"/>
    <mergeCell ref="C8:J8"/>
    <mergeCell ref="C9:J9"/>
    <mergeCell ref="C10:J10"/>
    <mergeCell ref="C13:C14"/>
    <mergeCell ref="D13:G14"/>
    <mergeCell ref="H13:H14"/>
    <mergeCell ref="I13:J13"/>
  </mergeCells>
  <hyperlinks>
    <hyperlink ref="M5" location="'Калькуляция (тр.режим)'!A1" display="Калькуляция стоимости 1 машино-часа (транспортный режим)"/>
    <hyperlink ref="M6" location="'Калькуляция(экскавация)'!A1" display="Калькуляция стоимости 1 машино-часа (транспортный режим)"/>
    <hyperlink ref="M7" location="'Калькуляция(погрузка)'!A1" display="Калькуляция стоимости 1 машино-часа (погрузка)"/>
    <hyperlink ref="M8" location="'Себестоимость(тр.режим)'!A1" display="Расчет производственной себестоимости 1 машино-часа (транспортный режим)"/>
    <hyperlink ref="M9" location="'Себестоимость(экскавация)'!A1" display="Расчет производственной себестоимости 1 машино-часа (экскавация)"/>
    <hyperlink ref="M10" location="'Себестоимость(погрузка)'!A1" display="Расчет производственной себестоимости 1 машино-часа (погрузка)"/>
    <hyperlink ref="M11" location="ГСМ!A1" display="Расчет затрат на топливо (ГСМ)"/>
    <hyperlink ref="M12" location="СМ!A1" display="Расчет затрат на смазочные материалы (СМ)"/>
    <hyperlink ref="M13" location="ЗП!A1" display="Расчет затрат на заработную плату водителей "/>
    <hyperlink ref="M14" location="амортизация!A1" display="Расчет амортизационных отчислений"/>
    <hyperlink ref="M15" location="'расчет % ОПР'!A1" display="Расчет процента общепроизводственных расходов"/>
    <hyperlink ref="M16" location="'расчет % ОХР'!A1" display="Расчет процента общехозяйственных расходов"/>
    <hyperlink ref="M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BE48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8.28125" style="1" customWidth="1"/>
    <col min="5" max="5" width="8.7109375" style="1" customWidth="1"/>
    <col min="6" max="8" width="10.421875" style="1" customWidth="1"/>
    <col min="9" max="9" width="9.7109375" style="1" customWidth="1"/>
    <col min="10" max="10" width="11.57421875" style="1" customWidth="1"/>
    <col min="11" max="11" width="11.140625" style="1" customWidth="1"/>
    <col min="12" max="12" width="10.28125" style="1" customWidth="1"/>
    <col min="13" max="13" width="9.8515625" style="1" customWidth="1"/>
    <col min="14" max="14" width="8.00390625" style="1" customWidth="1"/>
    <col min="15" max="15" width="9.421875" style="1" customWidth="1"/>
    <col min="16" max="16" width="10.7109375" style="1" customWidth="1"/>
    <col min="17" max="17" width="2.140625" style="1" customWidth="1"/>
    <col min="18" max="18" width="2.8515625" style="1" customWidth="1"/>
    <col min="19" max="19" width="53.57421875" style="1" customWidth="1"/>
    <col min="20" max="16384" width="9.140625" style="1" customWidth="1"/>
  </cols>
  <sheetData>
    <row r="1" spans="1:2" ht="11.25" thickBot="1">
      <c r="A1" s="1"/>
      <c r="B1" s="2" t="s">
        <v>0</v>
      </c>
    </row>
    <row r="2" spans="2:1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8"/>
    </row>
    <row r="4" spans="2:17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"/>
    </row>
    <row r="5" spans="2:19" ht="15">
      <c r="B5" s="7"/>
      <c r="C5" s="81" t="s">
        <v>140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"/>
      <c r="S5" s="68" t="s">
        <v>175</v>
      </c>
    </row>
    <row r="6" spans="2:19" ht="15">
      <c r="B6" s="7"/>
      <c r="C6" s="101" t="str">
        <f>'Калькуляция (тр.режим)'!C10:J10</f>
        <v>Экскаваторы колесные одноковшовые с ковшом вместимостью до 0,10 куб.м   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8"/>
      <c r="S6" s="68" t="s">
        <v>176</v>
      </c>
    </row>
    <row r="7" spans="2:19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S7" s="68" t="s">
        <v>177</v>
      </c>
    </row>
    <row r="8" spans="2:19" ht="15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8"/>
      <c r="S8" s="68" t="s">
        <v>178</v>
      </c>
    </row>
    <row r="9" spans="2:19" ht="51" customHeight="1">
      <c r="B9" s="7"/>
      <c r="C9" s="41" t="s">
        <v>1</v>
      </c>
      <c r="D9" s="41" t="s">
        <v>31</v>
      </c>
      <c r="E9" s="41" t="s">
        <v>32</v>
      </c>
      <c r="F9" s="41" t="s">
        <v>34</v>
      </c>
      <c r="G9" s="41" t="s">
        <v>135</v>
      </c>
      <c r="H9" s="41" t="s">
        <v>112</v>
      </c>
      <c r="I9" s="41" t="s">
        <v>33</v>
      </c>
      <c r="J9" s="41" t="str">
        <f>CONCATENATE("Дополнительная заработная плата, руб. (",('Калькуляция (тр.режим)'!H16*100),"%)")</f>
        <v>Дополнительная заработная плата, руб. (15%)</v>
      </c>
      <c r="K9" s="41" t="str">
        <f>CONCATENATE("Отчисления от заработной платы, руб., (",('Калькуляция (тр.режим)'!H17*100),"%)")</f>
        <v>Отчисления от заработной платы, руб., (34%)</v>
      </c>
      <c r="L9" s="41" t="str">
        <f>CONCATENATE("Обязательное страхование, руб., (",('Калькуляция (тр.режим)'!H18*100),"%)")</f>
        <v>Обязательное страхование, руб., (0,6%)</v>
      </c>
      <c r="M9" s="41" t="s">
        <v>125</v>
      </c>
      <c r="N9" s="41" t="str">
        <f>CONCATENATE("Цеховые расходы, руб.,  (",('Калькуляция (тр.режим)'!H19*100),"%)")</f>
        <v>Цеховые расходы, руб.,  (51,43%)</v>
      </c>
      <c r="O9" s="41" t="str">
        <f>CONCATENATE("Общехозяй- ственные расходы, руб.  (",('Калькуляция (тр.режим)'!H20*100),"%)")</f>
        <v>Общехозяй- ственные расходы, руб.  (40,77%)</v>
      </c>
      <c r="P9" s="41" t="s">
        <v>35</v>
      </c>
      <c r="Q9" s="8"/>
      <c r="S9" s="68" t="s">
        <v>179</v>
      </c>
    </row>
    <row r="10" spans="2:32" ht="31.5">
      <c r="B10" s="7"/>
      <c r="C10" s="14">
        <v>1</v>
      </c>
      <c r="D10" s="70" t="s">
        <v>170</v>
      </c>
      <c r="E10" s="14" t="s">
        <v>119</v>
      </c>
      <c r="F10" s="14" t="s">
        <v>36</v>
      </c>
      <c r="G10" s="50">
        <f>ГСМ!O11</f>
        <v>16530</v>
      </c>
      <c r="H10" s="50">
        <f>СМ!O11</f>
        <v>1107</v>
      </c>
      <c r="I10" s="50">
        <f>ЗП!AA14</f>
        <v>7131</v>
      </c>
      <c r="J10" s="50">
        <f>IF(I10="-","-",ROUND(I10*'Калькуляция (тр.режим)'!$H$16,0))</f>
        <v>1070</v>
      </c>
      <c r="K10" s="16">
        <f>IF(I10="-","-",ROUND((I10+J10)*'Калькуляция (тр.режим)'!$H$17,0))</f>
        <v>2788</v>
      </c>
      <c r="L10" s="16">
        <f>IF(I10="-","-",ROUND((I10+J10)*'Калькуляция (тр.режим)'!$H$18,0))</f>
        <v>49</v>
      </c>
      <c r="M10" s="16">
        <f>амортизация!J10</f>
        <v>5521</v>
      </c>
      <c r="N10" s="16">
        <f>IF(I10="-","-",ROUND((I10*'Калькуляция (тр.режим)'!$H$19),0))</f>
        <v>3667</v>
      </c>
      <c r="O10" s="16">
        <f>IF(I10="-","-",ROUND((I10*'Калькуляция (тр.режим)'!$H$20),0))</f>
        <v>2907</v>
      </c>
      <c r="P10" s="16">
        <f>SUM(G10:O10)</f>
        <v>40770</v>
      </c>
      <c r="Q10" s="8"/>
      <c r="R10" s="67"/>
      <c r="S10" s="68" t="s">
        <v>180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2:32" ht="42">
      <c r="B11" s="7"/>
      <c r="C11" s="14">
        <f>C10+1</f>
        <v>2</v>
      </c>
      <c r="D11" s="70" t="s">
        <v>172</v>
      </c>
      <c r="E11" s="14" t="s">
        <v>120</v>
      </c>
      <c r="F11" s="14" t="s">
        <v>36</v>
      </c>
      <c r="G11" s="50">
        <f>ГСМ!O12</f>
        <v>30495</v>
      </c>
      <c r="H11" s="50">
        <f>СМ!O12</f>
        <v>2042</v>
      </c>
      <c r="I11" s="50">
        <f>IF(H11="-","-",ЗП!AA15)</f>
        <v>12222</v>
      </c>
      <c r="J11" s="50">
        <f>IF(I11="-","-",ROUND(I11*'Калькуляция (тр.режим)'!$H$16,0))</f>
        <v>1833</v>
      </c>
      <c r="K11" s="16">
        <f>IF(I11="-","-",ROUND((I11+J11)*'Калькуляция (тр.режим)'!$H$17,0))</f>
        <v>4779</v>
      </c>
      <c r="L11" s="16">
        <f>IF(I11="-","-",ROUND((I11+J11)*'Калькуляция (тр.режим)'!$H$18,0))</f>
        <v>84</v>
      </c>
      <c r="M11" s="16">
        <f>амортизация!J11</f>
        <v>4012</v>
      </c>
      <c r="N11" s="16">
        <f>IF(I11="-","-",ROUND((I11*'Калькуляция (тр.режим)'!$H$19),0))</f>
        <v>6286</v>
      </c>
      <c r="O11" s="16">
        <f>IF(I11="-","-",ROUND((I11*'Калькуляция (тр.режим)'!$H$20),0))</f>
        <v>4983</v>
      </c>
      <c r="P11" s="16">
        <f>IF(G11="-","-",SUM(G11:O11))</f>
        <v>66736</v>
      </c>
      <c r="Q11" s="8"/>
      <c r="R11" s="67"/>
      <c r="S11" s="68" t="s">
        <v>181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2:32" ht="31.5">
      <c r="B12" s="7"/>
      <c r="C12" s="14">
        <f aca="true" t="shared" si="0" ref="C12:C30">C11+1</f>
        <v>3</v>
      </c>
      <c r="D12" s="70" t="s">
        <v>171</v>
      </c>
      <c r="E12" s="14" t="s">
        <v>121</v>
      </c>
      <c r="F12" s="14" t="s">
        <v>36</v>
      </c>
      <c r="G12" s="50">
        <f>ГСМ!O13</f>
        <v>15105</v>
      </c>
      <c r="H12" s="50">
        <f>СМ!O13</f>
        <v>1011</v>
      </c>
      <c r="I12" s="50">
        <f>IF(H12="-","-",ЗП!AA16)</f>
        <v>5432</v>
      </c>
      <c r="J12" s="50">
        <f>IF(I12="-","-",ROUND(I12*'Калькуляция (тр.режим)'!$H$16,0))</f>
        <v>815</v>
      </c>
      <c r="K12" s="16">
        <f>IF(I12="-","-",ROUND((I12+J12)*'Калькуляция (тр.режим)'!$H$17,0))</f>
        <v>2124</v>
      </c>
      <c r="L12" s="16">
        <f>IF(I12="-","-",ROUND((I12+J12)*'Калькуляция (тр.режим)'!$H$18,0))</f>
        <v>37</v>
      </c>
      <c r="M12" s="16">
        <f>амортизация!J12</f>
        <v>4012</v>
      </c>
      <c r="N12" s="16">
        <f>IF(I12="-","-",ROUND((I12*'Калькуляция (тр.режим)'!$H$19),0))</f>
        <v>2794</v>
      </c>
      <c r="O12" s="16">
        <f>IF(I12="-","-",ROUND((I12*'Калькуляция (тр.режим)'!$H$20),0))</f>
        <v>2215</v>
      </c>
      <c r="P12" s="16">
        <f aca="true" t="shared" si="1" ref="P12:P30">IF(G12="-","-",SUM(G12:O12))</f>
        <v>33545</v>
      </c>
      <c r="Q12" s="8"/>
      <c r="R12" s="67"/>
      <c r="S12" s="68" t="s">
        <v>183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2:32" ht="42">
      <c r="B13" s="7"/>
      <c r="C13" s="14">
        <f t="shared" si="0"/>
        <v>4</v>
      </c>
      <c r="D13" s="70" t="s">
        <v>173</v>
      </c>
      <c r="E13" s="14" t="s">
        <v>122</v>
      </c>
      <c r="F13" s="14" t="s">
        <v>36</v>
      </c>
      <c r="G13" s="50">
        <f>ГСМ!O14</f>
        <v>28500</v>
      </c>
      <c r="H13" s="50">
        <f>СМ!O14</f>
        <v>1908</v>
      </c>
      <c r="I13" s="50">
        <f>IF(H13="-","-",ЗП!AA17)</f>
        <v>6111</v>
      </c>
      <c r="J13" s="50">
        <f>IF(I13="-","-",ROUND(I13*'Калькуляция (тр.режим)'!$H$16,0))</f>
        <v>917</v>
      </c>
      <c r="K13" s="16">
        <f>IF(I13="-","-",ROUND((I13+J13)*'Калькуляция (тр.режим)'!$H$17,0))</f>
        <v>2390</v>
      </c>
      <c r="L13" s="16">
        <f>IF(I13="-","-",ROUND((I13+J13)*'Калькуляция (тр.режим)'!$H$18,0))</f>
        <v>42</v>
      </c>
      <c r="M13" s="16">
        <f>амортизация!J13</f>
        <v>4012</v>
      </c>
      <c r="N13" s="16">
        <f>IF(I13="-","-",ROUND((I13*'Калькуляция (тр.режим)'!$H$19),0))</f>
        <v>3143</v>
      </c>
      <c r="O13" s="16">
        <f>IF(I13="-","-",ROUND((I13*'Калькуляция (тр.режим)'!$H$20),0))</f>
        <v>2491</v>
      </c>
      <c r="P13" s="16">
        <f t="shared" si="1"/>
        <v>49514</v>
      </c>
      <c r="Q13" s="8"/>
      <c r="R13" s="67"/>
      <c r="S13" s="68" t="s">
        <v>184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2:32" ht="31.5">
      <c r="B14" s="7"/>
      <c r="C14" s="14">
        <f t="shared" si="0"/>
        <v>5</v>
      </c>
      <c r="D14" s="70" t="s">
        <v>174</v>
      </c>
      <c r="E14" s="14" t="s">
        <v>123</v>
      </c>
      <c r="F14" s="14" t="s">
        <v>36</v>
      </c>
      <c r="G14" s="50">
        <f>ГСМ!O15</f>
        <v>15675</v>
      </c>
      <c r="H14" s="50">
        <f>СМ!O15</f>
        <v>1050</v>
      </c>
      <c r="I14" s="50">
        <f>IF(H14="-","-",ЗП!AA18)</f>
        <v>5306</v>
      </c>
      <c r="J14" s="50">
        <f>IF(I14="-","-",ROUND(I14*'Калькуляция (тр.режим)'!$H$16,0))</f>
        <v>796</v>
      </c>
      <c r="K14" s="16">
        <f>IF(I14="-","-",ROUND((I14+J14)*'Калькуляция (тр.режим)'!$H$17,0))</f>
        <v>2075</v>
      </c>
      <c r="L14" s="16">
        <f>IF(I14="-","-",ROUND((I14+J14)*'Калькуляция (тр.режим)'!$H$18,0))</f>
        <v>37</v>
      </c>
      <c r="M14" s="16">
        <f>амортизация!J14</f>
        <v>7351</v>
      </c>
      <c r="N14" s="16">
        <f>IF(I14="-","-",ROUND((I14*'Калькуляция (тр.режим)'!$H$19),0))</f>
        <v>2729</v>
      </c>
      <c r="O14" s="16">
        <f>IF(I14="-","-",ROUND((I14*'Калькуляция (тр.режим)'!$H$20),0))</f>
        <v>2163</v>
      </c>
      <c r="P14" s="16">
        <f t="shared" si="1"/>
        <v>37182</v>
      </c>
      <c r="Q14" s="8"/>
      <c r="R14" s="67"/>
      <c r="S14" s="68" t="s">
        <v>118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2:32" ht="15">
      <c r="B15" s="7"/>
      <c r="C15" s="14">
        <f t="shared" si="0"/>
        <v>6</v>
      </c>
      <c r="D15" s="70"/>
      <c r="E15" s="40"/>
      <c r="F15" s="40"/>
      <c r="G15" s="50" t="str">
        <f>ГСМ!O16</f>
        <v>-</v>
      </c>
      <c r="H15" s="50" t="str">
        <f>СМ!O16</f>
        <v>-</v>
      </c>
      <c r="I15" s="50" t="str">
        <f>IF(H15="-","-",ЗП!AA19)</f>
        <v>-</v>
      </c>
      <c r="J15" s="50" t="str">
        <f>IF(I15="-","-",ROUND(I15*'Калькуляция (тр.режим)'!$H$16,0))</f>
        <v>-</v>
      </c>
      <c r="K15" s="16" t="str">
        <f>IF(I15="-","-",ROUND((I15+J15)*'Калькуляция (тр.режим)'!$H$17,0))</f>
        <v>-</v>
      </c>
      <c r="L15" s="16" t="str">
        <f>IF(I15="-","-",ROUND((I15+J15)*'Калькуляция (тр.режим)'!$H$18,0))</f>
        <v>-</v>
      </c>
      <c r="M15" s="16" t="str">
        <f>амортизация!J15</f>
        <v>-</v>
      </c>
      <c r="N15" s="16" t="str">
        <f>IF(I15="-","-",ROUND((I15*'Калькуляция (тр.режим)'!$H$19),0))</f>
        <v>-</v>
      </c>
      <c r="O15" s="16" t="str">
        <f>IF(I15="-","-",ROUND((I15*'Калькуляция (тр.режим)'!$H$20),0))</f>
        <v>-</v>
      </c>
      <c r="P15" s="16" t="str">
        <f t="shared" si="1"/>
        <v>-</v>
      </c>
      <c r="Q15" s="8"/>
      <c r="R15" s="67"/>
      <c r="S15" s="68" t="s">
        <v>92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2:32" ht="15">
      <c r="B16" s="7"/>
      <c r="C16" s="14">
        <f t="shared" si="0"/>
        <v>7</v>
      </c>
      <c r="D16" s="70"/>
      <c r="E16" s="40"/>
      <c r="F16" s="40"/>
      <c r="G16" s="50" t="str">
        <f>ГСМ!O17</f>
        <v>-</v>
      </c>
      <c r="H16" s="50" t="str">
        <f>СМ!O17</f>
        <v>-</v>
      </c>
      <c r="I16" s="50" t="str">
        <f>IF(H16="-","-",ЗП!AA20)</f>
        <v>-</v>
      </c>
      <c r="J16" s="50" t="str">
        <f>IF(I16="-","-",ROUND(I16*'Калькуляция (тр.режим)'!$H$16,0))</f>
        <v>-</v>
      </c>
      <c r="K16" s="16" t="str">
        <f>IF(I16="-","-",ROUND((I16+J16)*'Калькуляция (тр.режим)'!$H$17,0))</f>
        <v>-</v>
      </c>
      <c r="L16" s="16" t="str">
        <f>IF(I16="-","-",ROUND((I16+J16)*'Калькуляция (тр.режим)'!$H$18,0))</f>
        <v>-</v>
      </c>
      <c r="M16" s="16" t="str">
        <f>амортизация!J16</f>
        <v>-</v>
      </c>
      <c r="N16" s="16" t="str">
        <f>IF(I16="-","-",ROUND((I16*'Калькуляция (тр.режим)'!$H$19),0))</f>
        <v>-</v>
      </c>
      <c r="O16" s="16" t="str">
        <f>IF(I16="-","-",ROUND((I16*'Калькуляция (тр.режим)'!$H$20),0))</f>
        <v>-</v>
      </c>
      <c r="P16" s="16" t="str">
        <f t="shared" si="1"/>
        <v>-</v>
      </c>
      <c r="Q16" s="8"/>
      <c r="R16" s="67"/>
      <c r="S16" s="68" t="s">
        <v>108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2:32" ht="15">
      <c r="B17" s="7"/>
      <c r="C17" s="14">
        <f t="shared" si="0"/>
        <v>8</v>
      </c>
      <c r="D17" s="70"/>
      <c r="E17" s="40"/>
      <c r="F17" s="40"/>
      <c r="G17" s="50" t="str">
        <f>ГСМ!O18</f>
        <v>-</v>
      </c>
      <c r="H17" s="50" t="str">
        <f>СМ!O18</f>
        <v>-</v>
      </c>
      <c r="I17" s="50" t="str">
        <f>IF(H17="-","-",ЗП!AA21)</f>
        <v>-</v>
      </c>
      <c r="J17" s="50" t="str">
        <f>IF(I17="-","-",ROUND(I17*'Калькуляция (тр.режим)'!$H$16,0))</f>
        <v>-</v>
      </c>
      <c r="K17" s="16" t="str">
        <f>IF(I17="-","-",ROUND((I17+J17)*'Калькуляция (тр.режим)'!$H$17,0))</f>
        <v>-</v>
      </c>
      <c r="L17" s="16" t="str">
        <f>IF(I17="-","-",ROUND((I17+J17)*'Калькуляция (тр.режим)'!$H$18,0))</f>
        <v>-</v>
      </c>
      <c r="M17" s="16" t="str">
        <f>амортизация!J17</f>
        <v>-</v>
      </c>
      <c r="N17" s="16" t="str">
        <f>IF(I17="-","-",ROUND((I17*'Калькуляция (тр.режим)'!$H$19),0))</f>
        <v>-</v>
      </c>
      <c r="O17" s="16" t="str">
        <f>IF(I17="-","-",ROUND((I17*'Калькуляция (тр.режим)'!$H$20),0))</f>
        <v>-</v>
      </c>
      <c r="P17" s="16" t="str">
        <f t="shared" si="1"/>
        <v>-</v>
      </c>
      <c r="Q17" s="8"/>
      <c r="R17" s="67"/>
      <c r="S17" s="68" t="s">
        <v>117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2:32" ht="10.5">
      <c r="B18" s="7"/>
      <c r="C18" s="14">
        <f t="shared" si="0"/>
        <v>9</v>
      </c>
      <c r="D18" s="70"/>
      <c r="E18" s="40"/>
      <c r="F18" s="40"/>
      <c r="G18" s="50" t="str">
        <f>ГСМ!O19</f>
        <v>-</v>
      </c>
      <c r="H18" s="50" t="str">
        <f>СМ!O19</f>
        <v>-</v>
      </c>
      <c r="I18" s="50" t="str">
        <f>IF(H18="-","-",ЗП!AA22)</f>
        <v>-</v>
      </c>
      <c r="J18" s="50" t="str">
        <f>IF(I18="-","-",ROUND(I18*'Калькуляция (тр.режим)'!$H$16,0))</f>
        <v>-</v>
      </c>
      <c r="K18" s="16" t="str">
        <f>IF(I18="-","-",ROUND((I18+J18)*'Калькуляция (тр.режим)'!$H$17,0))</f>
        <v>-</v>
      </c>
      <c r="L18" s="16" t="str">
        <f>IF(I18="-","-",ROUND((I18+J18)*'Калькуляция (тр.режим)'!$H$18,0))</f>
        <v>-</v>
      </c>
      <c r="M18" s="16" t="str">
        <f>амортизация!J18</f>
        <v>-</v>
      </c>
      <c r="N18" s="16" t="str">
        <f>IF(I18="-","-",ROUND((I18*'Калькуляция (тр.режим)'!$H$19),0))</f>
        <v>-</v>
      </c>
      <c r="O18" s="16" t="str">
        <f>IF(I18="-","-",ROUND((I18*'Калькуляция (тр.режим)'!$H$20),0))</f>
        <v>-</v>
      </c>
      <c r="P18" s="16" t="str">
        <f t="shared" si="1"/>
        <v>-</v>
      </c>
      <c r="Q18" s="8"/>
      <c r="R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2:32" ht="10.5">
      <c r="B19" s="7"/>
      <c r="C19" s="14">
        <f t="shared" si="0"/>
        <v>10</v>
      </c>
      <c r="D19" s="70"/>
      <c r="E19" s="40"/>
      <c r="F19" s="40"/>
      <c r="G19" s="50" t="str">
        <f>ГСМ!O20</f>
        <v>-</v>
      </c>
      <c r="H19" s="50" t="str">
        <f>СМ!O20</f>
        <v>-</v>
      </c>
      <c r="I19" s="50" t="str">
        <f>IF(H19="-","-",ЗП!AA23)</f>
        <v>-</v>
      </c>
      <c r="J19" s="50" t="str">
        <f>IF(I19="-","-",ROUND(I19*'Калькуляция (тр.режим)'!$H$16,0))</f>
        <v>-</v>
      </c>
      <c r="K19" s="16" t="str">
        <f>IF(I19="-","-",ROUND((I19+J19)*'Калькуляция (тр.режим)'!$H$17,0))</f>
        <v>-</v>
      </c>
      <c r="L19" s="16" t="str">
        <f>IF(I19="-","-",ROUND((I19+J19)*'Калькуляция (тр.режим)'!$H$18,0))</f>
        <v>-</v>
      </c>
      <c r="M19" s="16" t="str">
        <f>амортизация!J19</f>
        <v>-</v>
      </c>
      <c r="N19" s="16" t="str">
        <f>IF(I19="-","-",ROUND((I19*'Калькуляция (тр.режим)'!$H$19),0))</f>
        <v>-</v>
      </c>
      <c r="O19" s="16" t="str">
        <f>IF(I19="-","-",ROUND((I19*'Калькуляция (тр.режим)'!$H$20),0))</f>
        <v>-</v>
      </c>
      <c r="P19" s="16" t="str">
        <f t="shared" si="1"/>
        <v>-</v>
      </c>
      <c r="Q19" s="8"/>
      <c r="R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2:32" ht="10.5">
      <c r="B20" s="7"/>
      <c r="C20" s="14">
        <f t="shared" si="0"/>
        <v>11</v>
      </c>
      <c r="D20" s="70"/>
      <c r="E20" s="40"/>
      <c r="F20" s="40"/>
      <c r="G20" s="50" t="str">
        <f>ГСМ!O21</f>
        <v>-</v>
      </c>
      <c r="H20" s="50" t="str">
        <f>СМ!O21</f>
        <v>-</v>
      </c>
      <c r="I20" s="50" t="str">
        <f>IF(H20="-","-",ЗП!AA24)</f>
        <v>-</v>
      </c>
      <c r="J20" s="50" t="str">
        <f>IF(I20="-","-",ROUND(I20*'Калькуляция (тр.режим)'!$H$16,0))</f>
        <v>-</v>
      </c>
      <c r="K20" s="16" t="str">
        <f>IF(I20="-","-",ROUND((I20+J20)*'Калькуляция (тр.режим)'!$H$17,0))</f>
        <v>-</v>
      </c>
      <c r="L20" s="16" t="str">
        <f>IF(I20="-","-",ROUND((I20+J20)*'Калькуляция (тр.режим)'!$H$18,0))</f>
        <v>-</v>
      </c>
      <c r="M20" s="16" t="str">
        <f>амортизация!J20</f>
        <v>-</v>
      </c>
      <c r="N20" s="16" t="str">
        <f>IF(I20="-","-",ROUND((I20*'Калькуляция (тр.режим)'!$H$19),0))</f>
        <v>-</v>
      </c>
      <c r="O20" s="16" t="str">
        <f>IF(I20="-","-",ROUND((I20*'Калькуляция (тр.режим)'!$H$20),0))</f>
        <v>-</v>
      </c>
      <c r="P20" s="16" t="str">
        <f t="shared" si="1"/>
        <v>-</v>
      </c>
      <c r="Q20" s="8"/>
      <c r="R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2:32" ht="10.5">
      <c r="B21" s="7"/>
      <c r="C21" s="14">
        <f t="shared" si="0"/>
        <v>12</v>
      </c>
      <c r="D21" s="70"/>
      <c r="E21" s="40"/>
      <c r="F21" s="40"/>
      <c r="G21" s="50" t="str">
        <f>ГСМ!O22</f>
        <v>-</v>
      </c>
      <c r="H21" s="50" t="str">
        <f>СМ!O22</f>
        <v>-</v>
      </c>
      <c r="I21" s="50" t="str">
        <f>IF(H21="-","-",ЗП!AA25)</f>
        <v>-</v>
      </c>
      <c r="J21" s="50" t="str">
        <f>IF(I21="-","-",ROUND(I21*'Калькуляция (тр.режим)'!$H$16,0))</f>
        <v>-</v>
      </c>
      <c r="K21" s="16" t="str">
        <f>IF(I21="-","-",ROUND((I21+J21)*'Калькуляция (тр.режим)'!$H$17,0))</f>
        <v>-</v>
      </c>
      <c r="L21" s="16" t="str">
        <f>IF(I21="-","-",ROUND((I21+J21)*'Калькуляция (тр.режим)'!$H$18,0))</f>
        <v>-</v>
      </c>
      <c r="M21" s="16" t="str">
        <f>амортизация!J21</f>
        <v>-</v>
      </c>
      <c r="N21" s="16" t="str">
        <f>IF(I21="-","-",ROUND((I21*'Калькуляция (тр.режим)'!$H$19),0))</f>
        <v>-</v>
      </c>
      <c r="O21" s="16" t="str">
        <f>IF(I21="-","-",ROUND((I21*'Калькуляция (тр.режим)'!$H$20),0))</f>
        <v>-</v>
      </c>
      <c r="P21" s="16" t="str">
        <f t="shared" si="1"/>
        <v>-</v>
      </c>
      <c r="Q21" s="8"/>
      <c r="R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2:32" ht="10.5">
      <c r="B22" s="7"/>
      <c r="C22" s="14">
        <f t="shared" si="0"/>
        <v>13</v>
      </c>
      <c r="D22" s="70"/>
      <c r="E22" s="40"/>
      <c r="F22" s="40"/>
      <c r="G22" s="50" t="str">
        <f>ГСМ!O23</f>
        <v>-</v>
      </c>
      <c r="H22" s="50" t="str">
        <f>СМ!O23</f>
        <v>-</v>
      </c>
      <c r="I22" s="50" t="str">
        <f>IF(H22="-","-",ЗП!AA26)</f>
        <v>-</v>
      </c>
      <c r="J22" s="50" t="str">
        <f>IF(I22="-","-",ROUND(I22*'Калькуляция (тр.режим)'!$H$16,0))</f>
        <v>-</v>
      </c>
      <c r="K22" s="16" t="str">
        <f>IF(I22="-","-",ROUND((I22+J22)*'Калькуляция (тр.режим)'!$H$17,0))</f>
        <v>-</v>
      </c>
      <c r="L22" s="16" t="str">
        <f>IF(I22="-","-",ROUND((I22+J22)*'Калькуляция (тр.режим)'!$H$18,0))</f>
        <v>-</v>
      </c>
      <c r="M22" s="16" t="str">
        <f>амортизация!J22</f>
        <v>-</v>
      </c>
      <c r="N22" s="16" t="str">
        <f>IF(I22="-","-",ROUND((I22*'Калькуляция (тр.режим)'!$H$19),0))</f>
        <v>-</v>
      </c>
      <c r="O22" s="16" t="str">
        <f>IF(I22="-","-",ROUND((I22*'Калькуляция (тр.режим)'!$H$20),0))</f>
        <v>-</v>
      </c>
      <c r="P22" s="16" t="str">
        <f t="shared" si="1"/>
        <v>-</v>
      </c>
      <c r="Q22" s="8"/>
      <c r="R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2:32" ht="10.5">
      <c r="B23" s="7"/>
      <c r="C23" s="14">
        <f t="shared" si="0"/>
        <v>14</v>
      </c>
      <c r="D23" s="70"/>
      <c r="E23" s="40"/>
      <c r="F23" s="40"/>
      <c r="G23" s="50" t="str">
        <f>ГСМ!O24</f>
        <v>-</v>
      </c>
      <c r="H23" s="50" t="str">
        <f>СМ!O24</f>
        <v>-</v>
      </c>
      <c r="I23" s="50" t="str">
        <f>IF(H23="-","-",ЗП!AA27)</f>
        <v>-</v>
      </c>
      <c r="J23" s="50" t="str">
        <f>IF(I23="-","-",ROUND(I23*'Калькуляция (тр.режим)'!$H$16,0))</f>
        <v>-</v>
      </c>
      <c r="K23" s="16" t="str">
        <f>IF(I23="-","-",ROUND((I23+J23)*'Калькуляция (тр.режим)'!$H$17,0))</f>
        <v>-</v>
      </c>
      <c r="L23" s="16" t="str">
        <f>IF(I23="-","-",ROUND((I23+J23)*'Калькуляция (тр.режим)'!$H$18,0))</f>
        <v>-</v>
      </c>
      <c r="M23" s="16" t="str">
        <f>амортизация!J23</f>
        <v>-</v>
      </c>
      <c r="N23" s="16" t="str">
        <f>IF(I23="-","-",ROUND((I23*'Калькуляция (тр.режим)'!$H$19),0))</f>
        <v>-</v>
      </c>
      <c r="O23" s="16" t="str">
        <f>IF(I23="-","-",ROUND((I23*'Калькуляция (тр.режим)'!$H$20),0))</f>
        <v>-</v>
      </c>
      <c r="P23" s="16" t="str">
        <f t="shared" si="1"/>
        <v>-</v>
      </c>
      <c r="Q23" s="8"/>
      <c r="R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2:32" ht="10.5">
      <c r="B24" s="7"/>
      <c r="C24" s="14">
        <f t="shared" si="0"/>
        <v>15</v>
      </c>
      <c r="D24" s="70"/>
      <c r="E24" s="40"/>
      <c r="F24" s="40"/>
      <c r="G24" s="50" t="str">
        <f>ГСМ!O25</f>
        <v>-</v>
      </c>
      <c r="H24" s="50" t="str">
        <f>СМ!O25</f>
        <v>-</v>
      </c>
      <c r="I24" s="50" t="str">
        <f>IF(H24="-","-",ЗП!AA28)</f>
        <v>-</v>
      </c>
      <c r="J24" s="50" t="str">
        <f>IF(I24="-","-",ROUND(I24*'Калькуляция (тр.режим)'!$H$16,0))</f>
        <v>-</v>
      </c>
      <c r="K24" s="16" t="str">
        <f>IF(I24="-","-",ROUND((I24+J24)*'Калькуляция (тр.режим)'!$H$17,0))</f>
        <v>-</v>
      </c>
      <c r="L24" s="16" t="str">
        <f>IF(I24="-","-",ROUND((I24+J24)*'Калькуляция (тр.режим)'!$H$18,0))</f>
        <v>-</v>
      </c>
      <c r="M24" s="16" t="str">
        <f>амортизация!J24</f>
        <v>-</v>
      </c>
      <c r="N24" s="16" t="str">
        <f>IF(I24="-","-",ROUND((I24*'Калькуляция (тр.режим)'!$H$19),0))</f>
        <v>-</v>
      </c>
      <c r="O24" s="16" t="str">
        <f>IF(I24="-","-",ROUND((I24*'Калькуляция (тр.режим)'!$H$20),0))</f>
        <v>-</v>
      </c>
      <c r="P24" s="16" t="str">
        <f t="shared" si="1"/>
        <v>-</v>
      </c>
      <c r="Q24" s="8"/>
      <c r="R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2:32" ht="10.5">
      <c r="B25" s="7"/>
      <c r="C25" s="14">
        <f t="shared" si="0"/>
        <v>16</v>
      </c>
      <c r="D25" s="70"/>
      <c r="E25" s="40"/>
      <c r="F25" s="40"/>
      <c r="G25" s="50" t="str">
        <f>ГСМ!O26</f>
        <v>-</v>
      </c>
      <c r="H25" s="50" t="str">
        <f>СМ!O26</f>
        <v>-</v>
      </c>
      <c r="I25" s="50" t="str">
        <f>IF(H25="-","-",ЗП!AA29)</f>
        <v>-</v>
      </c>
      <c r="J25" s="50" t="str">
        <f>IF(I25="-","-",ROUND(I25*'Калькуляция (тр.режим)'!$H$16,0))</f>
        <v>-</v>
      </c>
      <c r="K25" s="16" t="str">
        <f>IF(I25="-","-",ROUND((I25+J25)*'Калькуляция (тр.режим)'!$H$17,0))</f>
        <v>-</v>
      </c>
      <c r="L25" s="16" t="str">
        <f>IF(I25="-","-",ROUND((I25+J25)*'Калькуляция (тр.режим)'!$H$18,0))</f>
        <v>-</v>
      </c>
      <c r="M25" s="16" t="str">
        <f>амортизация!J25</f>
        <v>-</v>
      </c>
      <c r="N25" s="16" t="str">
        <f>IF(I25="-","-",ROUND((I25*'Калькуляция (тр.режим)'!$H$19),0))</f>
        <v>-</v>
      </c>
      <c r="O25" s="16" t="str">
        <f>IF(I25="-","-",ROUND((I25*'Калькуляция (тр.режим)'!$H$20),0))</f>
        <v>-</v>
      </c>
      <c r="P25" s="16" t="str">
        <f t="shared" si="1"/>
        <v>-</v>
      </c>
      <c r="Q25" s="8"/>
      <c r="R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2:32" ht="10.5">
      <c r="B26" s="7"/>
      <c r="C26" s="14">
        <f t="shared" si="0"/>
        <v>17</v>
      </c>
      <c r="D26" s="70"/>
      <c r="E26" s="40"/>
      <c r="F26" s="40"/>
      <c r="G26" s="50" t="str">
        <f>ГСМ!O27</f>
        <v>-</v>
      </c>
      <c r="H26" s="50" t="str">
        <f>СМ!O27</f>
        <v>-</v>
      </c>
      <c r="I26" s="50" t="str">
        <f>IF(H26="-","-",ЗП!AA30)</f>
        <v>-</v>
      </c>
      <c r="J26" s="50" t="str">
        <f>IF(I26="-","-",ROUND(I26*'Калькуляция (тр.режим)'!$H$16,0))</f>
        <v>-</v>
      </c>
      <c r="K26" s="16" t="str">
        <f>IF(I26="-","-",ROUND((I26+J26)*'Калькуляция (тр.режим)'!$H$17,0))</f>
        <v>-</v>
      </c>
      <c r="L26" s="16" t="str">
        <f>IF(I26="-","-",ROUND((I26+J26)*'Калькуляция (тр.режим)'!$H$18,0))</f>
        <v>-</v>
      </c>
      <c r="M26" s="16" t="str">
        <f>амортизация!J26</f>
        <v>-</v>
      </c>
      <c r="N26" s="16" t="str">
        <f>IF(I26="-","-",ROUND((I26*'Калькуляция (тр.режим)'!$H$19),0))</f>
        <v>-</v>
      </c>
      <c r="O26" s="16" t="str">
        <f>IF(I26="-","-",ROUND((I26*'Калькуляция (тр.режим)'!$H$20),0))</f>
        <v>-</v>
      </c>
      <c r="P26" s="16" t="str">
        <f t="shared" si="1"/>
        <v>-</v>
      </c>
      <c r="Q26" s="8"/>
      <c r="R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2:32" ht="10.5">
      <c r="B27" s="7"/>
      <c r="C27" s="14">
        <f t="shared" si="0"/>
        <v>18</v>
      </c>
      <c r="D27" s="70"/>
      <c r="E27" s="40"/>
      <c r="F27" s="40"/>
      <c r="G27" s="50" t="str">
        <f>ГСМ!O28</f>
        <v>-</v>
      </c>
      <c r="H27" s="50" t="str">
        <f>СМ!O28</f>
        <v>-</v>
      </c>
      <c r="I27" s="50" t="str">
        <f>IF(H27="-","-",ЗП!AA31)</f>
        <v>-</v>
      </c>
      <c r="J27" s="50" t="str">
        <f>IF(I27="-","-",ROUND(I27*'Калькуляция (тр.режим)'!$H$16,0))</f>
        <v>-</v>
      </c>
      <c r="K27" s="16" t="str">
        <f>IF(I27="-","-",ROUND((I27+J27)*#REF!,0))</f>
        <v>-</v>
      </c>
      <c r="L27" s="16" t="str">
        <f>IF(I27="-","-",ROUND((I27+J27)*'Калькуляция (тр.режим)'!$H$18,0))</f>
        <v>-</v>
      </c>
      <c r="M27" s="16" t="str">
        <f>амортизация!J27</f>
        <v>-</v>
      </c>
      <c r="N27" s="16" t="str">
        <f>IF(I27="-","-",ROUND((I27*'Калькуляция (тр.режим)'!$H$19),0))</f>
        <v>-</v>
      </c>
      <c r="O27" s="16" t="str">
        <f>IF(I27="-","-",ROUND((I27*'Калькуляция (тр.режим)'!$H$20),0))</f>
        <v>-</v>
      </c>
      <c r="P27" s="16" t="str">
        <f t="shared" si="1"/>
        <v>-</v>
      </c>
      <c r="Q27" s="8"/>
      <c r="R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2:32" ht="10.5">
      <c r="B28" s="7"/>
      <c r="C28" s="14">
        <f t="shared" si="0"/>
        <v>19</v>
      </c>
      <c r="D28" s="70"/>
      <c r="E28" s="40"/>
      <c r="F28" s="40"/>
      <c r="G28" s="50" t="str">
        <f>ГСМ!O29</f>
        <v>-</v>
      </c>
      <c r="H28" s="50" t="str">
        <f>СМ!O29</f>
        <v>-</v>
      </c>
      <c r="I28" s="50" t="str">
        <f>IF(H28="-","-",ЗП!AA32)</f>
        <v>-</v>
      </c>
      <c r="J28" s="50" t="str">
        <f>IF(I28="-","-",ROUND(I28*'Калькуляция (тр.режим)'!$H$16,0))</f>
        <v>-</v>
      </c>
      <c r="K28" s="16" t="str">
        <f>IF(I28="-","-",ROUND((I28+J28)*#REF!,0))</f>
        <v>-</v>
      </c>
      <c r="L28" s="16" t="str">
        <f>IF(I28="-","-",ROUND((I28+J28)*'Калькуляция (тр.режим)'!$H$18,0))</f>
        <v>-</v>
      </c>
      <c r="M28" s="16" t="str">
        <f>амортизация!J28</f>
        <v>-</v>
      </c>
      <c r="N28" s="16" t="str">
        <f>IF(I28="-","-",ROUND((I28*'Калькуляция (тр.режим)'!$H$19),0))</f>
        <v>-</v>
      </c>
      <c r="O28" s="16" t="str">
        <f>IF(I28="-","-",ROUND((I28*'Калькуляция (тр.режим)'!$H$20),0))</f>
        <v>-</v>
      </c>
      <c r="P28" s="16" t="str">
        <f t="shared" si="1"/>
        <v>-</v>
      </c>
      <c r="Q28" s="8"/>
      <c r="R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0.5">
      <c r="B29" s="7"/>
      <c r="C29" s="14">
        <f t="shared" si="0"/>
        <v>20</v>
      </c>
      <c r="D29" s="70"/>
      <c r="E29" s="40"/>
      <c r="F29" s="40"/>
      <c r="G29" s="50" t="str">
        <f>ГСМ!O30</f>
        <v>-</v>
      </c>
      <c r="H29" s="50" t="str">
        <f>СМ!O30</f>
        <v>-</v>
      </c>
      <c r="I29" s="50" t="str">
        <f>IF(H29="-","-",ЗП!AA33)</f>
        <v>-</v>
      </c>
      <c r="J29" s="50" t="str">
        <f>IF(I29="-","-",ROUND(I29*'Калькуляция (тр.режим)'!$H$16,0))</f>
        <v>-</v>
      </c>
      <c r="K29" s="16" t="str">
        <f>IF(I29="-","-",ROUND((I29+J29)*#REF!,0))</f>
        <v>-</v>
      </c>
      <c r="L29" s="16" t="str">
        <f>IF(I29="-","-",ROUND((I29+J29)*'Калькуляция (тр.режим)'!$H$18,0))</f>
        <v>-</v>
      </c>
      <c r="M29" s="16" t="str">
        <f>амортизация!J29</f>
        <v>-</v>
      </c>
      <c r="N29" s="16" t="str">
        <f>IF(I29="-","-",ROUND((I29*'Калькуляция (тр.режим)'!$H$19),0))</f>
        <v>-</v>
      </c>
      <c r="O29" s="16" t="str">
        <f>IF(I29="-","-",ROUND((I29*'Калькуляция (тр.режим)'!$H$20),0))</f>
        <v>-</v>
      </c>
      <c r="P29" s="16" t="str">
        <f t="shared" si="1"/>
        <v>-</v>
      </c>
      <c r="Q29" s="8"/>
      <c r="R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:32" ht="10.5">
      <c r="B30" s="7"/>
      <c r="C30" s="14">
        <f t="shared" si="0"/>
        <v>21</v>
      </c>
      <c r="D30" s="70"/>
      <c r="E30" s="40"/>
      <c r="F30" s="40"/>
      <c r="G30" s="50" t="str">
        <f>ГСМ!O31</f>
        <v>-</v>
      </c>
      <c r="H30" s="50" t="str">
        <f>СМ!O31</f>
        <v>-</v>
      </c>
      <c r="I30" s="50" t="str">
        <f>IF(H30="-","-",ЗП!AA34)</f>
        <v>-</v>
      </c>
      <c r="J30" s="50" t="str">
        <f>IF(I30="-","-",ROUND(I30*'Калькуляция (тр.режим)'!$H$16,0))</f>
        <v>-</v>
      </c>
      <c r="K30" s="16" t="str">
        <f>IF(I30="-","-",ROUND((I30+J30)*#REF!,0))</f>
        <v>-</v>
      </c>
      <c r="L30" s="16" t="str">
        <f>IF(I30="-","-",ROUND((I30+J30)*'Калькуляция (тр.режим)'!$H$18,0))</f>
        <v>-</v>
      </c>
      <c r="M30" s="16" t="str">
        <f>амортизация!J30</f>
        <v>-</v>
      </c>
      <c r="N30" s="16" t="str">
        <f>IF(I30="-","-",ROUND((I30*'Калькуляция (тр.режим)'!$H$19),0))</f>
        <v>-</v>
      </c>
      <c r="O30" s="16" t="str">
        <f>IF(I30="-","-",ROUND((I30*'Калькуляция (тр.режим)'!$H$20),0))</f>
        <v>-</v>
      </c>
      <c r="P30" s="16" t="str">
        <f t="shared" si="1"/>
        <v>-</v>
      </c>
      <c r="Q30" s="8"/>
      <c r="R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:32" ht="10.5">
      <c r="B31" s="7"/>
      <c r="C31" s="14"/>
      <c r="D31" s="17" t="s">
        <v>38</v>
      </c>
      <c r="E31" s="43" t="s">
        <v>37</v>
      </c>
      <c r="F31" s="43" t="s">
        <v>37</v>
      </c>
      <c r="G31" s="18">
        <f aca="true" t="shared" si="2" ref="G31:P31">ROUND(AVERAGE(G10:G30),0)</f>
        <v>21261</v>
      </c>
      <c r="H31" s="18">
        <f t="shared" si="2"/>
        <v>1424</v>
      </c>
      <c r="I31" s="18">
        <f t="shared" si="2"/>
        <v>7240</v>
      </c>
      <c r="J31" s="18">
        <f t="shared" si="2"/>
        <v>1086</v>
      </c>
      <c r="K31" s="18">
        <f t="shared" si="2"/>
        <v>2831</v>
      </c>
      <c r="L31" s="18">
        <f t="shared" si="2"/>
        <v>50</v>
      </c>
      <c r="M31" s="18">
        <f t="shared" si="2"/>
        <v>4982</v>
      </c>
      <c r="N31" s="18">
        <f t="shared" si="2"/>
        <v>3724</v>
      </c>
      <c r="O31" s="18">
        <f t="shared" si="2"/>
        <v>2952</v>
      </c>
      <c r="P31" s="18">
        <f t="shared" si="2"/>
        <v>45549</v>
      </c>
      <c r="Q31" s="8"/>
      <c r="R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2:32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8"/>
      <c r="R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2:57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21:57" ht="10.5"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21:57" ht="10.5">
      <c r="U35" s="24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3:57" ht="10.5">
      <c r="C36" s="31"/>
      <c r="D36" s="31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3:57" ht="10.5">
      <c r="C37" s="31"/>
      <c r="D37" s="31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3:57" ht="10.5">
      <c r="C38" s="31"/>
      <c r="D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3:57" ht="10.5">
      <c r="C39" s="31"/>
      <c r="D39" s="31"/>
      <c r="S39" s="23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3:57" ht="10.5">
      <c r="C40" s="31"/>
      <c r="D40" s="31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3:57" ht="10.5">
      <c r="C41" s="31"/>
      <c r="D41" s="3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0"/>
      <c r="AR41" s="30"/>
      <c r="AS41" s="30"/>
      <c r="AT41" s="30"/>
      <c r="AU41" s="30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3:57" ht="10.5">
      <c r="C42" s="31"/>
      <c r="D42" s="31"/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3:57" ht="10.5">
      <c r="C43" s="31"/>
      <c r="D43" s="31"/>
      <c r="U43" s="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3:57" ht="10.5">
      <c r="C44" s="31"/>
      <c r="D44" s="31"/>
      <c r="U44" s="28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3:57" ht="10.5">
      <c r="C45" s="31"/>
      <c r="D45" s="31"/>
      <c r="U45" s="28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3:57" ht="10.5">
      <c r="C46" s="31"/>
      <c r="D46" s="31"/>
      <c r="U46" s="2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3:57" ht="10.5">
      <c r="C47" s="31"/>
      <c r="D47" s="31"/>
      <c r="U47" s="28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3:4" ht="10.5">
      <c r="C48" s="31"/>
      <c r="D48" s="31"/>
    </row>
  </sheetData>
  <sheetProtection/>
  <mergeCells count="3">
    <mergeCell ref="C4:P4"/>
    <mergeCell ref="C5:P5"/>
    <mergeCell ref="C6:P6"/>
  </mergeCells>
  <hyperlinks>
    <hyperlink ref="S5" location="'Калькуляция (тр.режим)'!A1" display="Калькуляция стоимости 1 машино-часа (транспортный режим)"/>
    <hyperlink ref="S6" location="'Калькуляция(экскавация)'!A1" display="Калькуляция стоимости 1 машино-часа (транспортный режим)"/>
    <hyperlink ref="S7" location="'Калькуляция(погрузка)'!A1" display="Калькуляция стоимости 1 машино-часа (погрузка)"/>
    <hyperlink ref="S8" location="'Себестоимость(тр.режим)'!A1" display="Расчет производственной себестоимости 1 машино-часа (транспортный режим)"/>
    <hyperlink ref="S9" location="'Себестоимость(экскавация)'!A1" display="Расчет производственной себестоимости 1 машино-часа (экскавация)"/>
    <hyperlink ref="S10" location="'Себестоимость(погрузка)'!A1" display="Расчет производственной себестоимости 1 машино-часа (погрузка)"/>
    <hyperlink ref="S11" location="ГСМ!A1" display="Расчет затрат на топливо (ГСМ)"/>
    <hyperlink ref="S12" location="СМ!A1" display="Расчет затрат на смазочные материалы (СМ)"/>
    <hyperlink ref="S13" location="ЗП!A1" display="Расчет затрат на заработную плату водителей "/>
    <hyperlink ref="S14" location="амортизация!A1" display="Расчет амортизационных отчислений"/>
    <hyperlink ref="S15" location="'расчет % ОПР'!A1" display="Расчет процента общепроизводственных расходов"/>
    <hyperlink ref="S16" location="'расчет % ОХР'!A1" display="Расчет процента общехозяйственных расходов"/>
    <hyperlink ref="S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2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3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E48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8.28125" style="1" customWidth="1"/>
    <col min="5" max="5" width="8.7109375" style="1" customWidth="1"/>
    <col min="6" max="8" width="10.421875" style="1" customWidth="1"/>
    <col min="9" max="9" width="9.7109375" style="1" customWidth="1"/>
    <col min="10" max="10" width="11.57421875" style="1" customWidth="1"/>
    <col min="11" max="11" width="11.140625" style="1" customWidth="1"/>
    <col min="12" max="12" width="10.28125" style="1" customWidth="1"/>
    <col min="13" max="13" width="9.8515625" style="1" customWidth="1"/>
    <col min="14" max="14" width="8.00390625" style="1" customWidth="1"/>
    <col min="15" max="15" width="9.421875" style="1" customWidth="1"/>
    <col min="16" max="16" width="10.7109375" style="1" customWidth="1"/>
    <col min="17" max="17" width="2.140625" style="1" customWidth="1"/>
    <col min="18" max="18" width="2.8515625" style="1" customWidth="1"/>
    <col min="19" max="19" width="53.57421875" style="1" customWidth="1"/>
    <col min="20" max="16384" width="9.140625" style="1" customWidth="1"/>
  </cols>
  <sheetData>
    <row r="1" spans="1:2" ht="11.25" thickBot="1">
      <c r="A1" s="1"/>
      <c r="B1" s="2" t="s">
        <v>0</v>
      </c>
    </row>
    <row r="2" spans="2:1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8"/>
    </row>
    <row r="4" spans="2:17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"/>
    </row>
    <row r="5" spans="2:19" ht="15">
      <c r="B5" s="7"/>
      <c r="C5" s="81" t="s">
        <v>138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"/>
      <c r="S5" s="68" t="s">
        <v>175</v>
      </c>
    </row>
    <row r="6" spans="2:19" ht="15">
      <c r="B6" s="7"/>
      <c r="C6" s="101" t="str">
        <f>'Калькуляция (тр.режим)'!C10:J10</f>
        <v>Экскаваторы колесные одноковшовые с ковшом вместимостью до 0,10 куб.м   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8"/>
      <c r="S6" s="68" t="s">
        <v>176</v>
      </c>
    </row>
    <row r="7" spans="2:19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S7" s="68" t="s">
        <v>177</v>
      </c>
    </row>
    <row r="8" spans="2:19" ht="15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8"/>
      <c r="S8" s="68" t="s">
        <v>178</v>
      </c>
    </row>
    <row r="9" spans="2:19" ht="51" customHeight="1">
      <c r="B9" s="7"/>
      <c r="C9" s="41" t="s">
        <v>1</v>
      </c>
      <c r="D9" s="41" t="s">
        <v>31</v>
      </c>
      <c r="E9" s="41" t="s">
        <v>32</v>
      </c>
      <c r="F9" s="41" t="s">
        <v>34</v>
      </c>
      <c r="G9" s="41" t="s">
        <v>135</v>
      </c>
      <c r="H9" s="41" t="s">
        <v>112</v>
      </c>
      <c r="I9" s="41" t="s">
        <v>33</v>
      </c>
      <c r="J9" s="41" t="str">
        <f>CONCATENATE("Дополнительная заработная плата, руб. (",('Калькуляция (тр.режим)'!H16*100),"%)")</f>
        <v>Дополнительная заработная плата, руб. (15%)</v>
      </c>
      <c r="K9" s="41" t="str">
        <f>CONCATENATE("Отчисления от заработной платы, руб., (",('Калькуляция (тр.режим)'!H17*100),"%)")</f>
        <v>Отчисления от заработной платы, руб., (34%)</v>
      </c>
      <c r="L9" s="41" t="str">
        <f>CONCATENATE("Обязательное страхование, руб., (",('Калькуляция (тр.режим)'!H18*100),"%)")</f>
        <v>Обязательное страхование, руб., (0,6%)</v>
      </c>
      <c r="M9" s="41" t="s">
        <v>125</v>
      </c>
      <c r="N9" s="41" t="str">
        <f>CONCATENATE("Цеховые расходы, руб.,  (",('Калькуляция (тр.режим)'!H19*100),"%)")</f>
        <v>Цеховые расходы, руб.,  (51,43%)</v>
      </c>
      <c r="O9" s="41" t="str">
        <f>CONCATENATE("Общехозяй- ственные расходы, руб.  (",('Калькуляция (тр.режим)'!H20*100),"%)")</f>
        <v>Общехозяй- ственные расходы, руб.  (40,77%)</v>
      </c>
      <c r="P9" s="41" t="s">
        <v>35</v>
      </c>
      <c r="Q9" s="8"/>
      <c r="S9" s="68" t="s">
        <v>179</v>
      </c>
    </row>
    <row r="10" spans="2:32" ht="31.5">
      <c r="B10" s="7"/>
      <c r="C10" s="14">
        <v>1</v>
      </c>
      <c r="D10" s="75" t="str">
        <f>'Себестоимость(тр.режим)'!D10</f>
        <v>Бульдозер-экскаватор ДЗ-133 ЭЦ-40 (шасси МТЗ-82.1, дв. Д-243)</v>
      </c>
      <c r="E10" s="74" t="str">
        <f>'Себестоимость(тр.режим)'!E10</f>
        <v>6765 АА-5</v>
      </c>
      <c r="F10" s="74" t="str">
        <f>'Себестоимость(тр.режим)'!F10</f>
        <v>Трансп. цех</v>
      </c>
      <c r="G10" s="50">
        <f>ГСМ!P11</f>
        <v>18810</v>
      </c>
      <c r="H10" s="50">
        <f>СМ!P11</f>
        <v>1260</v>
      </c>
      <c r="I10" s="50">
        <f>IF(ЗП!AA14=0,"-",ЗП!AA14)</f>
        <v>7131</v>
      </c>
      <c r="J10" s="50">
        <f>IF(I10="-","-",ROUND(I10*'Калькуляция (тр.режим)'!$H$16,0))</f>
        <v>1070</v>
      </c>
      <c r="K10" s="16">
        <f>IF(I10="-","-",ROUND((I10+J10)*'Калькуляция (тр.режим)'!$H$17,0))</f>
        <v>2788</v>
      </c>
      <c r="L10" s="16">
        <f>IF(I10="-","-",ROUND((I10+J10)*'Калькуляция (тр.режим)'!$H$18,0))</f>
        <v>49</v>
      </c>
      <c r="M10" s="16">
        <f>амортизация!J10</f>
        <v>5521</v>
      </c>
      <c r="N10" s="16">
        <f>IF(I10="-","-",ROUND((I10*'Калькуляция (тр.режим)'!$H$19),0))</f>
        <v>3667</v>
      </c>
      <c r="O10" s="16">
        <f>IF(I10="-","-",ROUND((I10*'Калькуляция (тр.режим)'!$H$20),0))</f>
        <v>2907</v>
      </c>
      <c r="P10" s="16">
        <f>SUM(G10:O10)</f>
        <v>43203</v>
      </c>
      <c r="Q10" s="8"/>
      <c r="R10" s="67"/>
      <c r="S10" s="68" t="s">
        <v>180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2:32" ht="42">
      <c r="B11" s="7"/>
      <c r="C11" s="14">
        <f>C10+1</f>
        <v>2</v>
      </c>
      <c r="D11" s="75" t="str">
        <f>IF('Себестоимость(тр.режим)'!D11=0,"-",'Себестоимость(тр.режим)'!D11)</f>
        <v>Погрузчик-экскаватор Caterpillar CAT-428Е (дв. CAT-3054C DIT, 72,8 kW)</v>
      </c>
      <c r="E11" s="74" t="str">
        <f>IF('Себестоимость(тр.режим)'!E11=0,"-",'Себестоимость(тр.режим)'!E11)</f>
        <v>5642 ВВ-5</v>
      </c>
      <c r="F11" s="74" t="str">
        <f>IF('Себестоимость(тр.режим)'!F11=0,"-",'Себестоимость(тр.режим)'!F11)</f>
        <v>Трансп. цех</v>
      </c>
      <c r="G11" s="50">
        <f>ГСМ!P12</f>
        <v>24510</v>
      </c>
      <c r="H11" s="50">
        <f>СМ!P12</f>
        <v>1641</v>
      </c>
      <c r="I11" s="50">
        <f>IF(ЗП!AA15=0,"-",ЗП!AA15)</f>
        <v>12222</v>
      </c>
      <c r="J11" s="50">
        <f>IF(I11="-","-",ROUND(I11*'Калькуляция (тр.режим)'!$H$16,0))</f>
        <v>1833</v>
      </c>
      <c r="K11" s="16">
        <f>IF(I11="-","-",ROUND((I11+J11)*'Калькуляция (тр.режим)'!$H$17,0))</f>
        <v>4779</v>
      </c>
      <c r="L11" s="16">
        <f>IF(I11="-","-",ROUND((I11+J11)*'Калькуляция (тр.режим)'!$H$18,0))</f>
        <v>84</v>
      </c>
      <c r="M11" s="16">
        <f>амортизация!J11</f>
        <v>4012</v>
      </c>
      <c r="N11" s="16">
        <f>IF(I11="-","-",ROUND((I11*'Калькуляция (тр.режим)'!$H$19),0))</f>
        <v>6286</v>
      </c>
      <c r="O11" s="16">
        <f>IF(I11="-","-",ROUND((I11*'Калькуляция (тр.режим)'!$H$20),0))</f>
        <v>4983</v>
      </c>
      <c r="P11" s="16">
        <f>IF(G11="-","-",SUM(G11:O11))</f>
        <v>60350</v>
      </c>
      <c r="Q11" s="8"/>
      <c r="R11" s="67"/>
      <c r="S11" s="68" t="s">
        <v>181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2:32" ht="31.5">
      <c r="B12" s="7"/>
      <c r="C12" s="14">
        <f aca="true" t="shared" si="0" ref="C12:C30">C11+1</f>
        <v>3</v>
      </c>
      <c r="D12" s="75" t="str">
        <f>IF('Себестоимость(тр.режим)'!D12=0,"-",'Себестоимость(тр.режим)'!D12)</f>
        <v>Погрузчик ТО-49 (шасси МТЗ-82, дв. Д-240) </v>
      </c>
      <c r="E12" s="74" t="str">
        <f>IF('Себестоимость(тр.режим)'!E12=0,"-",'Себестоимость(тр.режим)'!E12)</f>
        <v>4455 EA-5</v>
      </c>
      <c r="F12" s="74" t="str">
        <f>IF('Себестоимость(тр.режим)'!F12=0,"-",'Себестоимость(тр.режим)'!F12)</f>
        <v>Трансп. цех</v>
      </c>
      <c r="G12" s="50">
        <f>ГСМ!P13</f>
        <v>12540</v>
      </c>
      <c r="H12" s="50">
        <f>СМ!P13</f>
        <v>840</v>
      </c>
      <c r="I12" s="50">
        <f>IF(ЗП!AA16=0,"-",ЗП!AA16)</f>
        <v>5432</v>
      </c>
      <c r="J12" s="50">
        <f>IF(I12="-","-",ROUND(I12*'Калькуляция (тр.режим)'!$H$16,0))</f>
        <v>815</v>
      </c>
      <c r="K12" s="16">
        <f>IF(I12="-","-",ROUND((I12+J12)*'Калькуляция (тр.режим)'!$H$17,0))</f>
        <v>2124</v>
      </c>
      <c r="L12" s="16">
        <f>IF(I12="-","-",ROUND((I12+J12)*'Калькуляция (тр.режим)'!$H$18,0))</f>
        <v>37</v>
      </c>
      <c r="M12" s="16">
        <f>амортизация!J12</f>
        <v>4012</v>
      </c>
      <c r="N12" s="16">
        <f>IF(I12="-","-",ROUND((I12*'Калькуляция (тр.режим)'!$H$19),0))</f>
        <v>2794</v>
      </c>
      <c r="O12" s="16">
        <f>IF(I12="-","-",ROUND((I12*'Калькуляция (тр.режим)'!$H$20),0))</f>
        <v>2215</v>
      </c>
      <c r="P12" s="16">
        <f aca="true" t="shared" si="1" ref="P12:P30">IF(G12="-","-",SUM(G12:O12))</f>
        <v>30809</v>
      </c>
      <c r="Q12" s="8"/>
      <c r="R12" s="67"/>
      <c r="S12" s="68" t="s">
        <v>183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2:32" ht="42">
      <c r="B13" s="7"/>
      <c r="C13" s="14">
        <f t="shared" si="0"/>
        <v>4</v>
      </c>
      <c r="D13" s="75" t="str">
        <f>IF('Себестоимость(тр.режим)'!D13=0,"-",'Себестоимость(тр.режим)'!D13)</f>
        <v>Погрузчик-экскаватор JCB 3CX SITEMASTER GP (дв. JCB444T, JCB444T1, 68 kW)</v>
      </c>
      <c r="E13" s="74" t="str">
        <f>IF('Себестоимость(тр.режим)'!E13=0,"-",'Себестоимость(тр.режим)'!E13)</f>
        <v>4785 AX-5</v>
      </c>
      <c r="F13" s="74" t="str">
        <f>IF('Себестоимость(тр.режим)'!F13=0,"-",'Себестоимость(тр.режим)'!F13)</f>
        <v>Трансп. цех</v>
      </c>
      <c r="G13" s="50">
        <f>ГСМ!P14</f>
        <v>17100</v>
      </c>
      <c r="H13" s="50">
        <f>СМ!P14</f>
        <v>1145</v>
      </c>
      <c r="I13" s="50">
        <f>IF(ЗП!AA17=0,"-",ЗП!AA17)</f>
        <v>6111</v>
      </c>
      <c r="J13" s="50">
        <f>IF(I13="-","-",ROUND(I13*'Калькуляция (тр.режим)'!$H$16,0))</f>
        <v>917</v>
      </c>
      <c r="K13" s="16">
        <f>IF(I13="-","-",ROUND((I13+J13)*'Калькуляция (тр.режим)'!$H$17,0))</f>
        <v>2390</v>
      </c>
      <c r="L13" s="16">
        <f>IF(I13="-","-",ROUND((I13+J13)*'Калькуляция (тр.режим)'!$H$18,0))</f>
        <v>42</v>
      </c>
      <c r="M13" s="16">
        <f>амортизация!J13</f>
        <v>4012</v>
      </c>
      <c r="N13" s="16">
        <f>IF(I13="-","-",ROUND((I13*'Калькуляция (тр.режим)'!$H$19),0))</f>
        <v>3143</v>
      </c>
      <c r="O13" s="16">
        <f>IF(I13="-","-",ROUND((I13*'Калькуляция (тр.режим)'!$H$20),0))</f>
        <v>2491</v>
      </c>
      <c r="P13" s="16">
        <f t="shared" si="1"/>
        <v>37351</v>
      </c>
      <c r="Q13" s="8"/>
      <c r="R13" s="67"/>
      <c r="S13" s="68" t="s">
        <v>184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2:32" ht="31.5">
      <c r="B14" s="7"/>
      <c r="C14" s="14">
        <f t="shared" si="0"/>
        <v>5</v>
      </c>
      <c r="D14" s="75" t="str">
        <f>IF('Себестоимость(тр.режим)'!D14=0,"-",'Себестоимость(тр.режим)'!D14)</f>
        <v>Погрузчик-экскаватор ПЭ-82 (шасси МТЗ-82П, дв. Д-243, Д-243-486)</v>
      </c>
      <c r="E14" s="74" t="str">
        <f>IF('Себестоимость(тр.режим)'!E14=0,"-",'Себестоимость(тр.режим)'!E14)</f>
        <v>2210 KK-5</v>
      </c>
      <c r="F14" s="74" t="str">
        <f>IF('Себестоимость(тр.режим)'!F14=0,"-",'Себестоимость(тр.режим)'!F14)</f>
        <v>Трансп. цех</v>
      </c>
      <c r="G14" s="50">
        <f>ГСМ!P15</f>
        <v>11970</v>
      </c>
      <c r="H14" s="50">
        <f>СМ!P15</f>
        <v>802</v>
      </c>
      <c r="I14" s="50">
        <f>IF(ЗП!AA18=0,"-",ЗП!AA18)</f>
        <v>5306</v>
      </c>
      <c r="J14" s="50">
        <f>IF(I14="-","-",ROUND(I14*'Калькуляция (тр.режим)'!$H$16,0))</f>
        <v>796</v>
      </c>
      <c r="K14" s="16">
        <f>IF(I14="-","-",ROUND((I14+J14)*'Калькуляция (тр.режим)'!$H$17,0))</f>
        <v>2075</v>
      </c>
      <c r="L14" s="16">
        <f>IF(I14="-","-",ROUND((I14+J14)*'Калькуляция (тр.режим)'!$H$18,0))</f>
        <v>37</v>
      </c>
      <c r="M14" s="16">
        <f>амортизация!J14</f>
        <v>7351</v>
      </c>
      <c r="N14" s="16">
        <f>IF(I14="-","-",ROUND((I14*'Калькуляция (тр.режим)'!$H$19),0))</f>
        <v>2729</v>
      </c>
      <c r="O14" s="16">
        <f>IF(I14="-","-",ROUND((I14*'Калькуляция (тр.режим)'!$H$20),0))</f>
        <v>2163</v>
      </c>
      <c r="P14" s="16">
        <f t="shared" si="1"/>
        <v>33229</v>
      </c>
      <c r="Q14" s="8"/>
      <c r="R14" s="67"/>
      <c r="S14" s="68" t="s">
        <v>118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2:32" ht="15">
      <c r="B15" s="7"/>
      <c r="C15" s="14">
        <f t="shared" si="0"/>
        <v>6</v>
      </c>
      <c r="D15" s="75" t="str">
        <f>IF('Себестоимость(тр.режим)'!D15=0,"-",'Себестоимость(тр.режим)'!D15)</f>
        <v>-</v>
      </c>
      <c r="E15" s="74"/>
      <c r="F15" s="74"/>
      <c r="G15" s="50" t="str">
        <f>ГСМ!P16</f>
        <v>-</v>
      </c>
      <c r="H15" s="50" t="str">
        <f>СМ!P16</f>
        <v>-</v>
      </c>
      <c r="I15" s="50" t="str">
        <f>IF(ЗП!AA19=0,"-",ЗП!AA19)</f>
        <v>-</v>
      </c>
      <c r="J15" s="50" t="str">
        <f>IF(I15="-","-",ROUND(I15*'Калькуляция (тр.режим)'!$H$16,0))</f>
        <v>-</v>
      </c>
      <c r="K15" s="16" t="str">
        <f>IF(I15="-","-",ROUND((I15+J15)*'Калькуляция (тр.режим)'!$H$17,0))</f>
        <v>-</v>
      </c>
      <c r="L15" s="16" t="str">
        <f>IF(I15="-","-",ROUND((I15+J15)*'Калькуляция (тр.режим)'!$H$18,0))</f>
        <v>-</v>
      </c>
      <c r="M15" s="16" t="str">
        <f>амортизация!J15</f>
        <v>-</v>
      </c>
      <c r="N15" s="16" t="str">
        <f>IF(I15="-","-",ROUND((I15*'Калькуляция (тр.режим)'!$H$19),0))</f>
        <v>-</v>
      </c>
      <c r="O15" s="16" t="str">
        <f>IF(I15="-","-",ROUND((I15*'Калькуляция (тр.режим)'!$H$20),0))</f>
        <v>-</v>
      </c>
      <c r="P15" s="16" t="str">
        <f t="shared" si="1"/>
        <v>-</v>
      </c>
      <c r="Q15" s="8"/>
      <c r="R15" s="67"/>
      <c r="S15" s="68" t="s">
        <v>92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2:32" ht="15">
      <c r="B16" s="7"/>
      <c r="C16" s="14">
        <f t="shared" si="0"/>
        <v>7</v>
      </c>
      <c r="D16" s="75" t="str">
        <f>IF('Себестоимость(тр.режим)'!D16=0,"-",'Себестоимость(тр.режим)'!D16)</f>
        <v>-</v>
      </c>
      <c r="E16" s="74"/>
      <c r="F16" s="74"/>
      <c r="G16" s="50" t="str">
        <f>ГСМ!P17</f>
        <v>-</v>
      </c>
      <c r="H16" s="50" t="str">
        <f>СМ!P17</f>
        <v>-</v>
      </c>
      <c r="I16" s="50" t="str">
        <f>IF(ЗП!AA20=0,"-",ЗП!AA20)</f>
        <v>-</v>
      </c>
      <c r="J16" s="50" t="str">
        <f>IF(I16="-","-",ROUND(I16*'Калькуляция (тр.режим)'!$H$16,0))</f>
        <v>-</v>
      </c>
      <c r="K16" s="16" t="str">
        <f>IF(I16="-","-",ROUND((I16+J16)*'Калькуляция (тр.режим)'!$H$17,0))</f>
        <v>-</v>
      </c>
      <c r="L16" s="16" t="str">
        <f>IF(I16="-","-",ROUND((I16+J16)*'Калькуляция (тр.режим)'!$H$18,0))</f>
        <v>-</v>
      </c>
      <c r="M16" s="16" t="str">
        <f>амортизация!J16</f>
        <v>-</v>
      </c>
      <c r="N16" s="16" t="str">
        <f>IF(I16="-","-",ROUND((I16*'Калькуляция (тр.режим)'!$H$19),0))</f>
        <v>-</v>
      </c>
      <c r="O16" s="16" t="str">
        <f>IF(I16="-","-",ROUND((I16*'Калькуляция (тр.режим)'!$H$20),0))</f>
        <v>-</v>
      </c>
      <c r="P16" s="16" t="str">
        <f t="shared" si="1"/>
        <v>-</v>
      </c>
      <c r="Q16" s="8"/>
      <c r="R16" s="67"/>
      <c r="S16" s="68" t="s">
        <v>108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2:32" ht="15">
      <c r="B17" s="7"/>
      <c r="C17" s="14">
        <f t="shared" si="0"/>
        <v>8</v>
      </c>
      <c r="D17" s="75" t="str">
        <f>IF('Себестоимость(тр.режим)'!D17=0,"-",'Себестоимость(тр.режим)'!D17)</f>
        <v>-</v>
      </c>
      <c r="E17" s="74"/>
      <c r="F17" s="74"/>
      <c r="G17" s="50" t="str">
        <f>ГСМ!P18</f>
        <v>-</v>
      </c>
      <c r="H17" s="50" t="str">
        <f>СМ!P18</f>
        <v>-</v>
      </c>
      <c r="I17" s="50" t="str">
        <f>IF(ЗП!AA21=0,"-",ЗП!AA21)</f>
        <v>-</v>
      </c>
      <c r="J17" s="50" t="str">
        <f>IF(I17="-","-",ROUND(I17*'Калькуляция (тр.режим)'!$H$16,0))</f>
        <v>-</v>
      </c>
      <c r="K17" s="16" t="str">
        <f>IF(I17="-","-",ROUND((I17+J17)*'Калькуляция (тр.режим)'!$H$17,0))</f>
        <v>-</v>
      </c>
      <c r="L17" s="16" t="str">
        <f>IF(I17="-","-",ROUND((I17+J17)*'Калькуляция (тр.режим)'!$H$18,0))</f>
        <v>-</v>
      </c>
      <c r="M17" s="16" t="str">
        <f>амортизация!J17</f>
        <v>-</v>
      </c>
      <c r="N17" s="16" t="str">
        <f>IF(I17="-","-",ROUND((I17*'Калькуляция (тр.режим)'!$H$19),0))</f>
        <v>-</v>
      </c>
      <c r="O17" s="16" t="str">
        <f>IF(I17="-","-",ROUND((I17*'Калькуляция (тр.режим)'!$H$20),0))</f>
        <v>-</v>
      </c>
      <c r="P17" s="16" t="str">
        <f t="shared" si="1"/>
        <v>-</v>
      </c>
      <c r="Q17" s="8"/>
      <c r="R17" s="67"/>
      <c r="S17" s="68" t="s">
        <v>117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2:32" ht="10.5">
      <c r="B18" s="7"/>
      <c r="C18" s="14">
        <f t="shared" si="0"/>
        <v>9</v>
      </c>
      <c r="D18" s="75" t="str">
        <f>IF('Себестоимость(тр.режим)'!D18=0,"-",'Себестоимость(тр.режим)'!D18)</f>
        <v>-</v>
      </c>
      <c r="E18" s="74"/>
      <c r="F18" s="74"/>
      <c r="G18" s="50" t="str">
        <f>ГСМ!P19</f>
        <v>-</v>
      </c>
      <c r="H18" s="50" t="str">
        <f>СМ!P19</f>
        <v>-</v>
      </c>
      <c r="I18" s="50" t="str">
        <f>IF(ЗП!AA22=0,"-",ЗП!AA22)</f>
        <v>-</v>
      </c>
      <c r="J18" s="50" t="str">
        <f>IF(I18="-","-",ROUND(I18*'Калькуляция (тр.режим)'!$H$16,0))</f>
        <v>-</v>
      </c>
      <c r="K18" s="16" t="str">
        <f>IF(I18="-","-",ROUND((I18+J18)*'Калькуляция (тр.режим)'!$H$17,0))</f>
        <v>-</v>
      </c>
      <c r="L18" s="16" t="str">
        <f>IF(I18="-","-",ROUND((I18+J18)*'Калькуляция (тр.режим)'!$H$18,0))</f>
        <v>-</v>
      </c>
      <c r="M18" s="16" t="str">
        <f>амортизация!J18</f>
        <v>-</v>
      </c>
      <c r="N18" s="16" t="str">
        <f>IF(I18="-","-",ROUND((I18*'Калькуляция (тр.режим)'!$H$19),0))</f>
        <v>-</v>
      </c>
      <c r="O18" s="16" t="str">
        <f>IF(I18="-","-",ROUND((I18*'Калькуляция (тр.режим)'!$H$20),0))</f>
        <v>-</v>
      </c>
      <c r="P18" s="16" t="str">
        <f t="shared" si="1"/>
        <v>-</v>
      </c>
      <c r="Q18" s="8"/>
      <c r="R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2:32" ht="10.5">
      <c r="B19" s="7"/>
      <c r="C19" s="14">
        <f t="shared" si="0"/>
        <v>10</v>
      </c>
      <c r="D19" s="75" t="str">
        <f>IF('Себестоимость(тр.режим)'!D19=0,"-",'Себестоимость(тр.режим)'!D19)</f>
        <v>-</v>
      </c>
      <c r="E19" s="74"/>
      <c r="F19" s="74"/>
      <c r="G19" s="50" t="str">
        <f>ГСМ!P20</f>
        <v>-</v>
      </c>
      <c r="H19" s="50" t="str">
        <f>СМ!P20</f>
        <v>-</v>
      </c>
      <c r="I19" s="50" t="str">
        <f>IF(ЗП!AA23=0,"-",ЗП!AA23)</f>
        <v>-</v>
      </c>
      <c r="J19" s="50" t="str">
        <f>IF(I19="-","-",ROUND(I19*'Калькуляция (тр.режим)'!$H$16,0))</f>
        <v>-</v>
      </c>
      <c r="K19" s="16" t="str">
        <f>IF(I19="-","-",ROUND((I19+J19)*'Калькуляция (тр.режим)'!$H$17,0))</f>
        <v>-</v>
      </c>
      <c r="L19" s="16" t="str">
        <f>IF(I19="-","-",ROUND((I19+J19)*'Калькуляция (тр.режим)'!$H$18,0))</f>
        <v>-</v>
      </c>
      <c r="M19" s="16" t="str">
        <f>амортизация!J19</f>
        <v>-</v>
      </c>
      <c r="N19" s="16" t="str">
        <f>IF(I19="-","-",ROUND((I19*'Калькуляция (тр.режим)'!$H$19),0))</f>
        <v>-</v>
      </c>
      <c r="O19" s="16" t="str">
        <f>IF(I19="-","-",ROUND((I19*'Калькуляция (тр.режим)'!$H$20),0))</f>
        <v>-</v>
      </c>
      <c r="P19" s="16" t="str">
        <f t="shared" si="1"/>
        <v>-</v>
      </c>
      <c r="Q19" s="8"/>
      <c r="R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2:32" ht="10.5">
      <c r="B20" s="7"/>
      <c r="C20" s="14">
        <f t="shared" si="0"/>
        <v>11</v>
      </c>
      <c r="D20" s="75" t="str">
        <f>IF('Себестоимость(тр.режим)'!D20=0,"-",'Себестоимость(тр.режим)'!D20)</f>
        <v>-</v>
      </c>
      <c r="E20" s="74"/>
      <c r="F20" s="74"/>
      <c r="G20" s="50" t="str">
        <f>ГСМ!P21</f>
        <v>-</v>
      </c>
      <c r="H20" s="50" t="str">
        <f>СМ!P21</f>
        <v>-</v>
      </c>
      <c r="I20" s="50" t="str">
        <f>IF(ЗП!AA24=0,"-",ЗП!AA24)</f>
        <v>-</v>
      </c>
      <c r="J20" s="50" t="str">
        <f>IF(I20="-","-",ROUND(I20*'Калькуляция (тр.режим)'!$H$16,0))</f>
        <v>-</v>
      </c>
      <c r="K20" s="16" t="str">
        <f>IF(I20="-","-",ROUND((I20+J20)*'Калькуляция (тр.режим)'!$H$17,0))</f>
        <v>-</v>
      </c>
      <c r="L20" s="16" t="str">
        <f>IF(I20="-","-",ROUND((I20+J20)*'Калькуляция (тр.режим)'!$H$18,0))</f>
        <v>-</v>
      </c>
      <c r="M20" s="16" t="str">
        <f>амортизация!J20</f>
        <v>-</v>
      </c>
      <c r="N20" s="16" t="str">
        <f>IF(I20="-","-",ROUND((I20*'Калькуляция (тр.режим)'!$H$19),0))</f>
        <v>-</v>
      </c>
      <c r="O20" s="16" t="str">
        <f>IF(I20="-","-",ROUND((I20*'Калькуляция (тр.режим)'!$H$20),0))</f>
        <v>-</v>
      </c>
      <c r="P20" s="16" t="str">
        <f t="shared" si="1"/>
        <v>-</v>
      </c>
      <c r="Q20" s="8"/>
      <c r="R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2:32" ht="10.5">
      <c r="B21" s="7"/>
      <c r="C21" s="14">
        <f t="shared" si="0"/>
        <v>12</v>
      </c>
      <c r="D21" s="75" t="str">
        <f>IF('Себестоимость(тр.режим)'!D21=0,"-",'Себестоимость(тр.режим)'!D21)</f>
        <v>-</v>
      </c>
      <c r="E21" s="74"/>
      <c r="F21" s="74"/>
      <c r="G21" s="50" t="str">
        <f>ГСМ!P22</f>
        <v>-</v>
      </c>
      <c r="H21" s="50" t="str">
        <f>СМ!P22</f>
        <v>-</v>
      </c>
      <c r="I21" s="50" t="str">
        <f>IF(ЗП!AA25=0,"-",ЗП!AA25)</f>
        <v>-</v>
      </c>
      <c r="J21" s="50" t="str">
        <f>IF(I21="-","-",ROUND(I21*'Калькуляция (тр.режим)'!$H$16,0))</f>
        <v>-</v>
      </c>
      <c r="K21" s="16" t="str">
        <f>IF(I21="-","-",ROUND((I21+J21)*'Калькуляция (тр.режим)'!$H$17,0))</f>
        <v>-</v>
      </c>
      <c r="L21" s="16" t="str">
        <f>IF(I21="-","-",ROUND((I21+J21)*'Калькуляция (тр.режим)'!$H$18,0))</f>
        <v>-</v>
      </c>
      <c r="M21" s="16" t="str">
        <f>амортизация!J21</f>
        <v>-</v>
      </c>
      <c r="N21" s="16" t="str">
        <f>IF(I21="-","-",ROUND((I21*'Калькуляция (тр.режим)'!$H$19),0))</f>
        <v>-</v>
      </c>
      <c r="O21" s="16" t="str">
        <f>IF(I21="-","-",ROUND((I21*'Калькуляция (тр.режим)'!$H$20),0))</f>
        <v>-</v>
      </c>
      <c r="P21" s="16" t="str">
        <f t="shared" si="1"/>
        <v>-</v>
      </c>
      <c r="Q21" s="8"/>
      <c r="R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2:32" ht="10.5">
      <c r="B22" s="7"/>
      <c r="C22" s="14">
        <f t="shared" si="0"/>
        <v>13</v>
      </c>
      <c r="D22" s="75" t="str">
        <f>IF('Себестоимость(тр.режим)'!D22=0,"-",'Себестоимость(тр.режим)'!D22)</f>
        <v>-</v>
      </c>
      <c r="E22" s="74"/>
      <c r="F22" s="74"/>
      <c r="G22" s="50" t="str">
        <f>ГСМ!P23</f>
        <v>-</v>
      </c>
      <c r="H22" s="50" t="str">
        <f>СМ!P23</f>
        <v>-</v>
      </c>
      <c r="I22" s="50" t="str">
        <f>IF(ЗП!AA26=0,"-",ЗП!AA26)</f>
        <v>-</v>
      </c>
      <c r="J22" s="50" t="str">
        <f>IF(I22="-","-",ROUND(I22*'Калькуляция (тр.режим)'!$H$16,0))</f>
        <v>-</v>
      </c>
      <c r="K22" s="16" t="str">
        <f>IF(I22="-","-",ROUND((I22+J22)*'Калькуляция (тр.режим)'!$H$17,0))</f>
        <v>-</v>
      </c>
      <c r="L22" s="16" t="str">
        <f>IF(I22="-","-",ROUND((I22+J22)*'Калькуляция (тр.режим)'!$H$18,0))</f>
        <v>-</v>
      </c>
      <c r="M22" s="16" t="str">
        <f>амортизация!J22</f>
        <v>-</v>
      </c>
      <c r="N22" s="16" t="str">
        <f>IF(I22="-","-",ROUND((I22*'Калькуляция (тр.режим)'!$H$19),0))</f>
        <v>-</v>
      </c>
      <c r="O22" s="16" t="str">
        <f>IF(I22="-","-",ROUND((I22*'Калькуляция (тр.режим)'!$H$20),0))</f>
        <v>-</v>
      </c>
      <c r="P22" s="16" t="str">
        <f t="shared" si="1"/>
        <v>-</v>
      </c>
      <c r="Q22" s="8"/>
      <c r="R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2:32" ht="10.5">
      <c r="B23" s="7"/>
      <c r="C23" s="14">
        <f t="shared" si="0"/>
        <v>14</v>
      </c>
      <c r="D23" s="75" t="str">
        <f>IF('Себестоимость(тр.режим)'!D23=0,"-",'Себестоимость(тр.режим)'!D23)</f>
        <v>-</v>
      </c>
      <c r="E23" s="74"/>
      <c r="F23" s="74"/>
      <c r="G23" s="50" t="str">
        <f>ГСМ!P24</f>
        <v>-</v>
      </c>
      <c r="H23" s="50" t="str">
        <f>СМ!P24</f>
        <v>-</v>
      </c>
      <c r="I23" s="50" t="str">
        <f>IF(ЗП!AA27=0,"-",ЗП!AA27)</f>
        <v>-</v>
      </c>
      <c r="J23" s="50" t="str">
        <f>IF(I23="-","-",ROUND(I23*'Калькуляция (тр.режим)'!$H$16,0))</f>
        <v>-</v>
      </c>
      <c r="K23" s="16" t="str">
        <f>IF(I23="-","-",ROUND((I23+J23)*'Калькуляция (тр.режим)'!$H$17,0))</f>
        <v>-</v>
      </c>
      <c r="L23" s="16" t="str">
        <f>IF(I23="-","-",ROUND((I23+J23)*'Калькуляция (тр.режим)'!$H$18,0))</f>
        <v>-</v>
      </c>
      <c r="M23" s="16" t="str">
        <f>амортизация!J23</f>
        <v>-</v>
      </c>
      <c r="N23" s="16" t="str">
        <f>IF(I23="-","-",ROUND((I23*'Калькуляция (тр.режим)'!$H$19),0))</f>
        <v>-</v>
      </c>
      <c r="O23" s="16" t="str">
        <f>IF(I23="-","-",ROUND((I23*'Калькуляция (тр.режим)'!$H$20),0))</f>
        <v>-</v>
      </c>
      <c r="P23" s="16" t="str">
        <f t="shared" si="1"/>
        <v>-</v>
      </c>
      <c r="Q23" s="8"/>
      <c r="R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2:32" ht="10.5">
      <c r="B24" s="7"/>
      <c r="C24" s="14">
        <f t="shared" si="0"/>
        <v>15</v>
      </c>
      <c r="D24" s="75" t="str">
        <f>IF('Себестоимость(тр.режим)'!D24=0,"-",'Себестоимость(тр.режим)'!D24)</f>
        <v>-</v>
      </c>
      <c r="E24" s="74"/>
      <c r="F24" s="74"/>
      <c r="G24" s="50" t="str">
        <f>ГСМ!P25</f>
        <v>-</v>
      </c>
      <c r="H24" s="50" t="str">
        <f>СМ!P25</f>
        <v>-</v>
      </c>
      <c r="I24" s="50" t="str">
        <f>IF(ЗП!AA28=0,"-",ЗП!AA28)</f>
        <v>-</v>
      </c>
      <c r="J24" s="50" t="str">
        <f>IF(I24="-","-",ROUND(I24*'Калькуляция (тр.режим)'!$H$16,0))</f>
        <v>-</v>
      </c>
      <c r="K24" s="16" t="str">
        <f>IF(I24="-","-",ROUND((I24+J24)*'Калькуляция (тр.режим)'!$H$17,0))</f>
        <v>-</v>
      </c>
      <c r="L24" s="16" t="str">
        <f>IF(I24="-","-",ROUND((I24+J24)*'Калькуляция (тр.режим)'!$H$18,0))</f>
        <v>-</v>
      </c>
      <c r="M24" s="16" t="str">
        <f>амортизация!J24</f>
        <v>-</v>
      </c>
      <c r="N24" s="16" t="str">
        <f>IF(I24="-","-",ROUND((I24*'Калькуляция (тр.режим)'!$H$19),0))</f>
        <v>-</v>
      </c>
      <c r="O24" s="16" t="str">
        <f>IF(I24="-","-",ROUND((I24*'Калькуляция (тр.режим)'!$H$20),0))</f>
        <v>-</v>
      </c>
      <c r="P24" s="16" t="str">
        <f t="shared" si="1"/>
        <v>-</v>
      </c>
      <c r="Q24" s="8"/>
      <c r="R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2:32" ht="10.5">
      <c r="B25" s="7"/>
      <c r="C25" s="14">
        <f t="shared" si="0"/>
        <v>16</v>
      </c>
      <c r="D25" s="75" t="str">
        <f>IF('Себестоимость(тр.режим)'!D25=0,"-",'Себестоимость(тр.режим)'!D25)</f>
        <v>-</v>
      </c>
      <c r="E25" s="74"/>
      <c r="F25" s="74"/>
      <c r="G25" s="50" t="str">
        <f>ГСМ!P26</f>
        <v>-</v>
      </c>
      <c r="H25" s="50" t="str">
        <f>СМ!P26</f>
        <v>-</v>
      </c>
      <c r="I25" s="50" t="str">
        <f>IF(ЗП!AA29=0,"-",ЗП!AA29)</f>
        <v>-</v>
      </c>
      <c r="J25" s="50" t="str">
        <f>IF(I25="-","-",ROUND(I25*'Калькуляция (тр.режим)'!$H$16,0))</f>
        <v>-</v>
      </c>
      <c r="K25" s="16" t="str">
        <f>IF(I25="-","-",ROUND((I25+J25)*'Калькуляция (тр.режим)'!$H$17,0))</f>
        <v>-</v>
      </c>
      <c r="L25" s="16" t="str">
        <f>IF(I25="-","-",ROUND((I25+J25)*'Калькуляция (тр.режим)'!$H$18,0))</f>
        <v>-</v>
      </c>
      <c r="M25" s="16" t="str">
        <f>амортизация!J25</f>
        <v>-</v>
      </c>
      <c r="N25" s="16" t="str">
        <f>IF(I25="-","-",ROUND((I25*'Калькуляция (тр.режим)'!$H$19),0))</f>
        <v>-</v>
      </c>
      <c r="O25" s="16" t="str">
        <f>IF(I25="-","-",ROUND((I25*'Калькуляция (тр.режим)'!$H$20),0))</f>
        <v>-</v>
      </c>
      <c r="P25" s="16" t="str">
        <f t="shared" si="1"/>
        <v>-</v>
      </c>
      <c r="Q25" s="8"/>
      <c r="R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2:32" ht="10.5">
      <c r="B26" s="7"/>
      <c r="C26" s="14">
        <f t="shared" si="0"/>
        <v>17</v>
      </c>
      <c r="D26" s="75" t="str">
        <f>IF('Себестоимость(тр.режим)'!D26=0,"-",'Себестоимость(тр.режим)'!D26)</f>
        <v>-</v>
      </c>
      <c r="E26" s="74"/>
      <c r="F26" s="74"/>
      <c r="G26" s="50" t="str">
        <f>ГСМ!P27</f>
        <v>-</v>
      </c>
      <c r="H26" s="50" t="str">
        <f>СМ!P27</f>
        <v>-</v>
      </c>
      <c r="I26" s="50" t="str">
        <f>IF(ЗП!AA30=0,"-",ЗП!AA30)</f>
        <v>-</v>
      </c>
      <c r="J26" s="50" t="str">
        <f>IF(I26="-","-",ROUND(I26*'Калькуляция (тр.режим)'!$H$16,0))</f>
        <v>-</v>
      </c>
      <c r="K26" s="16" t="str">
        <f>IF(I26="-","-",ROUND((I26+J26)*'Калькуляция (тр.режим)'!$H$17,0))</f>
        <v>-</v>
      </c>
      <c r="L26" s="16" t="str">
        <f>IF(I26="-","-",ROUND((I26+J26)*'Калькуляция (тр.режим)'!$H$18,0))</f>
        <v>-</v>
      </c>
      <c r="M26" s="16" t="str">
        <f>амортизация!J26</f>
        <v>-</v>
      </c>
      <c r="N26" s="16" t="str">
        <f>IF(I26="-","-",ROUND((I26*'Калькуляция (тр.режим)'!$H$19),0))</f>
        <v>-</v>
      </c>
      <c r="O26" s="16" t="str">
        <f>IF(I26="-","-",ROUND((I26*'Калькуляция (тр.режим)'!$H$20),0))</f>
        <v>-</v>
      </c>
      <c r="P26" s="16" t="str">
        <f t="shared" si="1"/>
        <v>-</v>
      </c>
      <c r="Q26" s="8"/>
      <c r="R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2:32" ht="10.5">
      <c r="B27" s="7"/>
      <c r="C27" s="14">
        <f t="shared" si="0"/>
        <v>18</v>
      </c>
      <c r="D27" s="75" t="str">
        <f>IF('Себестоимость(тр.режим)'!D27=0,"-",'Себестоимость(тр.режим)'!D27)</f>
        <v>-</v>
      </c>
      <c r="E27" s="74"/>
      <c r="F27" s="74"/>
      <c r="G27" s="50" t="str">
        <f>ГСМ!P28</f>
        <v>-</v>
      </c>
      <c r="H27" s="50" t="str">
        <f>СМ!P28</f>
        <v>-</v>
      </c>
      <c r="I27" s="50" t="str">
        <f>IF(ЗП!AA31=0,"-",ЗП!AA31)</f>
        <v>-</v>
      </c>
      <c r="J27" s="50" t="str">
        <f>IF(I27="-","-",ROUND(I27*'Калькуляция (тр.режим)'!$H$16,0))</f>
        <v>-</v>
      </c>
      <c r="K27" s="16" t="str">
        <f>IF(I27="-","-",ROUND((I27+J27)*'Калькуляция (тр.режим)'!$H$17,0))</f>
        <v>-</v>
      </c>
      <c r="L27" s="16" t="str">
        <f>IF(I27="-","-",ROUND((I27+J27)*'Калькуляция (тр.режим)'!$H$18,0))</f>
        <v>-</v>
      </c>
      <c r="M27" s="16" t="str">
        <f>амортизация!J27</f>
        <v>-</v>
      </c>
      <c r="N27" s="16" t="str">
        <f>IF(I27="-","-",ROUND((I27*'Калькуляция (тр.режим)'!$H$19),0))</f>
        <v>-</v>
      </c>
      <c r="O27" s="16" t="str">
        <f>IF(I27="-","-",ROUND((I27*'Калькуляция (тр.режим)'!$H$20),0))</f>
        <v>-</v>
      </c>
      <c r="P27" s="16" t="str">
        <f t="shared" si="1"/>
        <v>-</v>
      </c>
      <c r="Q27" s="8"/>
      <c r="R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2:32" ht="10.5">
      <c r="B28" s="7"/>
      <c r="C28" s="14">
        <f t="shared" si="0"/>
        <v>19</v>
      </c>
      <c r="D28" s="75" t="str">
        <f>IF('Себестоимость(тр.режим)'!D28=0,"-",'Себестоимость(тр.режим)'!D28)</f>
        <v>-</v>
      </c>
      <c r="E28" s="74"/>
      <c r="F28" s="74"/>
      <c r="G28" s="50" t="str">
        <f>ГСМ!P29</f>
        <v>-</v>
      </c>
      <c r="H28" s="50" t="str">
        <f>СМ!P29</f>
        <v>-</v>
      </c>
      <c r="I28" s="50" t="str">
        <f>IF(ЗП!AA32=0,"-",ЗП!AA32)</f>
        <v>-</v>
      </c>
      <c r="J28" s="50" t="str">
        <f>IF(I28="-","-",ROUND(I28*'Калькуляция (тр.режим)'!$H$16,0))</f>
        <v>-</v>
      </c>
      <c r="K28" s="16" t="str">
        <f>IF(I28="-","-",ROUND((I28+J28)*'Калькуляция (тр.режим)'!$H$17,0))</f>
        <v>-</v>
      </c>
      <c r="L28" s="16" t="str">
        <f>IF(I28="-","-",ROUND((I28+J28)*'Калькуляция (тр.режим)'!$H$18,0))</f>
        <v>-</v>
      </c>
      <c r="M28" s="16" t="str">
        <f>амортизация!J28</f>
        <v>-</v>
      </c>
      <c r="N28" s="16" t="str">
        <f>IF(I28="-","-",ROUND((I28*'Калькуляция (тр.режим)'!$H$19),0))</f>
        <v>-</v>
      </c>
      <c r="O28" s="16" t="str">
        <f>IF(I28="-","-",ROUND((I28*'Калькуляция (тр.режим)'!$H$20),0))</f>
        <v>-</v>
      </c>
      <c r="P28" s="16" t="str">
        <f t="shared" si="1"/>
        <v>-</v>
      </c>
      <c r="Q28" s="8"/>
      <c r="R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0.5">
      <c r="B29" s="7"/>
      <c r="C29" s="14">
        <f t="shared" si="0"/>
        <v>20</v>
      </c>
      <c r="D29" s="75" t="str">
        <f>IF('Себестоимость(тр.режим)'!D29=0,"-",'Себестоимость(тр.режим)'!D29)</f>
        <v>-</v>
      </c>
      <c r="E29" s="74"/>
      <c r="F29" s="74"/>
      <c r="G29" s="50" t="str">
        <f>ГСМ!P30</f>
        <v>-</v>
      </c>
      <c r="H29" s="50" t="str">
        <f>СМ!P30</f>
        <v>-</v>
      </c>
      <c r="I29" s="50" t="str">
        <f>IF(ЗП!AA33=0,"-",ЗП!AA33)</f>
        <v>-</v>
      </c>
      <c r="J29" s="50" t="str">
        <f>IF(I29="-","-",ROUND(I29*'Калькуляция (тр.режим)'!$H$16,0))</f>
        <v>-</v>
      </c>
      <c r="K29" s="16" t="str">
        <f>IF(I29="-","-",ROUND((I29+J29)*'Калькуляция (тр.режим)'!$H$17,0))</f>
        <v>-</v>
      </c>
      <c r="L29" s="16" t="str">
        <f>IF(I29="-","-",ROUND((I29+J29)*'Калькуляция (тр.режим)'!$H$18,0))</f>
        <v>-</v>
      </c>
      <c r="M29" s="16" t="str">
        <f>амортизация!J29</f>
        <v>-</v>
      </c>
      <c r="N29" s="16" t="str">
        <f>IF(I29="-","-",ROUND((I29*'Калькуляция (тр.режим)'!$H$19),0))</f>
        <v>-</v>
      </c>
      <c r="O29" s="16" t="str">
        <f>IF(I29="-","-",ROUND((I29*'Калькуляция (тр.режим)'!$H$20),0))</f>
        <v>-</v>
      </c>
      <c r="P29" s="16" t="str">
        <f t="shared" si="1"/>
        <v>-</v>
      </c>
      <c r="Q29" s="8"/>
      <c r="R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:32" ht="10.5">
      <c r="B30" s="7"/>
      <c r="C30" s="14">
        <f t="shared" si="0"/>
        <v>21</v>
      </c>
      <c r="D30" s="75" t="str">
        <f>IF('Себестоимость(тр.режим)'!D30=0,"-",'Себестоимость(тр.режим)'!D30)</f>
        <v>-</v>
      </c>
      <c r="E30" s="74"/>
      <c r="F30" s="74"/>
      <c r="G30" s="50" t="str">
        <f>ГСМ!P31</f>
        <v>-</v>
      </c>
      <c r="H30" s="50" t="str">
        <f>СМ!P31</f>
        <v>-</v>
      </c>
      <c r="I30" s="50" t="str">
        <f>IF(ЗП!AA34=0,"-",ЗП!AA34)</f>
        <v>-</v>
      </c>
      <c r="J30" s="50" t="str">
        <f>IF(I30="-","-",ROUND(I30*'Калькуляция (тр.режим)'!$H$16,0))</f>
        <v>-</v>
      </c>
      <c r="K30" s="16" t="str">
        <f>IF(I30="-","-",ROUND((I30+J30)*'Калькуляция (тр.режим)'!$H$17,0))</f>
        <v>-</v>
      </c>
      <c r="L30" s="16" t="str">
        <f>IF(I30="-","-",ROUND((I30+J30)*'Калькуляция (тр.режим)'!$H$18,0))</f>
        <v>-</v>
      </c>
      <c r="M30" s="16" t="str">
        <f>амортизация!J30</f>
        <v>-</v>
      </c>
      <c r="N30" s="16" t="str">
        <f>IF(I30="-","-",ROUND((I30*'Калькуляция (тр.режим)'!$H$19),0))</f>
        <v>-</v>
      </c>
      <c r="O30" s="16" t="str">
        <f>IF(I30="-","-",ROUND((I30*'Калькуляция (тр.режим)'!$H$20),0))</f>
        <v>-</v>
      </c>
      <c r="P30" s="16" t="str">
        <f t="shared" si="1"/>
        <v>-</v>
      </c>
      <c r="Q30" s="8"/>
      <c r="R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:32" ht="10.5">
      <c r="B31" s="7"/>
      <c r="C31" s="14"/>
      <c r="D31" s="17" t="s">
        <v>38</v>
      </c>
      <c r="E31" s="43" t="s">
        <v>37</v>
      </c>
      <c r="F31" s="43" t="s">
        <v>37</v>
      </c>
      <c r="G31" s="18">
        <f>ROUND(AVERAGE(G10:G30),0)</f>
        <v>16986</v>
      </c>
      <c r="H31" s="18">
        <f aca="true" t="shared" si="2" ref="H31:P31">ROUND(AVERAGE(H10:H30),0)</f>
        <v>1138</v>
      </c>
      <c r="I31" s="18">
        <f t="shared" si="2"/>
        <v>7240</v>
      </c>
      <c r="J31" s="18">
        <f t="shared" si="2"/>
        <v>1086</v>
      </c>
      <c r="K31" s="18">
        <f t="shared" si="2"/>
        <v>2831</v>
      </c>
      <c r="L31" s="18">
        <f t="shared" si="2"/>
        <v>50</v>
      </c>
      <c r="M31" s="18">
        <f t="shared" si="2"/>
        <v>4982</v>
      </c>
      <c r="N31" s="18">
        <f t="shared" si="2"/>
        <v>3724</v>
      </c>
      <c r="O31" s="18">
        <f t="shared" si="2"/>
        <v>2952</v>
      </c>
      <c r="P31" s="18">
        <f t="shared" si="2"/>
        <v>40988</v>
      </c>
      <c r="Q31" s="8"/>
      <c r="R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2:32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8"/>
      <c r="R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2:57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21:57" ht="10.5"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21:57" ht="10.5">
      <c r="U35" s="24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3:57" ht="10.5">
      <c r="C36" s="31"/>
      <c r="D36" s="31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3:57" ht="10.5">
      <c r="C37" s="31"/>
      <c r="D37" s="31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3:57" ht="10.5">
      <c r="C38" s="31"/>
      <c r="D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3:57" ht="10.5">
      <c r="C39" s="31"/>
      <c r="D39" s="31"/>
      <c r="S39" s="23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3:57" ht="10.5">
      <c r="C40" s="31"/>
      <c r="D40" s="31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3:57" ht="10.5">
      <c r="C41" s="31"/>
      <c r="D41" s="3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0"/>
      <c r="AR41" s="30"/>
      <c r="AS41" s="30"/>
      <c r="AT41" s="30"/>
      <c r="AU41" s="30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3:57" ht="10.5">
      <c r="C42" s="31"/>
      <c r="D42" s="31"/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3:57" ht="10.5">
      <c r="C43" s="31"/>
      <c r="D43" s="31"/>
      <c r="U43" s="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3:57" ht="10.5">
      <c r="C44" s="31"/>
      <c r="D44" s="31"/>
      <c r="U44" s="28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3:57" ht="10.5">
      <c r="C45" s="31"/>
      <c r="D45" s="31"/>
      <c r="U45" s="28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3:57" ht="10.5">
      <c r="C46" s="31"/>
      <c r="D46" s="31"/>
      <c r="U46" s="2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3:57" ht="10.5">
      <c r="C47" s="31"/>
      <c r="D47" s="31"/>
      <c r="U47" s="28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3:4" ht="10.5">
      <c r="C48" s="31"/>
      <c r="D48" s="31"/>
    </row>
  </sheetData>
  <sheetProtection/>
  <mergeCells count="3">
    <mergeCell ref="C4:P4"/>
    <mergeCell ref="C5:P5"/>
    <mergeCell ref="C6:P6"/>
  </mergeCells>
  <hyperlinks>
    <hyperlink ref="S5" location="'Калькуляция (тр.режим)'!A1" display="Калькуляция стоимости 1 машино-часа (транспортный режим)"/>
    <hyperlink ref="S6" location="'Калькуляция(экскавация)'!A1" display="Калькуляция стоимости 1 машино-часа (транспортный режим)"/>
    <hyperlink ref="S7" location="'Калькуляция(погрузка)'!A1" display="Калькуляция стоимости 1 машино-часа (погрузка)"/>
    <hyperlink ref="S8" location="'Себестоимость(тр.режим)'!A1" display="Расчет производственной себестоимости 1 машино-часа (транспортный режим)"/>
    <hyperlink ref="S9" location="'Себестоимость(экскавация)'!A1" display="Расчет производственной себестоимости 1 машино-часа (экскавация)"/>
    <hyperlink ref="S10" location="'Себестоимость(погрузка)'!A1" display="Расчет производственной себестоимости 1 машино-часа (погрузка)"/>
    <hyperlink ref="S11" location="ГСМ!A1" display="Расчет затрат на топливо (ГСМ)"/>
    <hyperlink ref="S12" location="СМ!A1" display="Расчет затрат на смазочные материалы (СМ)"/>
    <hyperlink ref="S13" location="ЗП!A1" display="Расчет затрат на заработную плату водителей "/>
    <hyperlink ref="S14" location="амортизация!A1" display="Расчет амортизационных отчислений"/>
    <hyperlink ref="S15" location="'расчет % ОПР'!A1" display="Расчет процента общепроизводственных расходов"/>
    <hyperlink ref="S16" location="'расчет % ОХР'!A1" display="Расчет процента общехозяйственных расходов"/>
    <hyperlink ref="S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2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3" max="255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E48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8.28125" style="1" customWidth="1"/>
    <col min="5" max="5" width="8.7109375" style="1" customWidth="1"/>
    <col min="6" max="8" width="10.421875" style="1" customWidth="1"/>
    <col min="9" max="9" width="9.7109375" style="1" customWidth="1"/>
    <col min="10" max="10" width="11.57421875" style="1" customWidth="1"/>
    <col min="11" max="11" width="11.140625" style="1" customWidth="1"/>
    <col min="12" max="12" width="10.28125" style="1" customWidth="1"/>
    <col min="13" max="13" width="9.8515625" style="1" customWidth="1"/>
    <col min="14" max="14" width="8.00390625" style="1" customWidth="1"/>
    <col min="15" max="15" width="9.421875" style="1" customWidth="1"/>
    <col min="16" max="16" width="10.7109375" style="1" customWidth="1"/>
    <col min="17" max="17" width="2.140625" style="1" customWidth="1"/>
    <col min="18" max="18" width="2.8515625" style="1" customWidth="1"/>
    <col min="19" max="19" width="53.57421875" style="1" customWidth="1"/>
    <col min="20" max="16384" width="9.140625" style="1" customWidth="1"/>
  </cols>
  <sheetData>
    <row r="1" spans="1:2" ht="11.25" thickBot="1">
      <c r="A1" s="1"/>
      <c r="B1" s="2" t="s">
        <v>0</v>
      </c>
    </row>
    <row r="2" spans="2:1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8"/>
    </row>
    <row r="4" spans="2:17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"/>
    </row>
    <row r="5" spans="2:19" ht="15">
      <c r="B5" s="7"/>
      <c r="C5" s="81" t="s">
        <v>139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"/>
      <c r="S5" s="68" t="s">
        <v>175</v>
      </c>
    </row>
    <row r="6" spans="2:19" ht="15">
      <c r="B6" s="7"/>
      <c r="C6" s="101" t="str">
        <f>'Калькуляция (тр.режим)'!C10:J10</f>
        <v>Экскаваторы колесные одноковшовые с ковшом вместимостью до 0,10 куб.м   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8"/>
      <c r="S6" s="68" t="s">
        <v>176</v>
      </c>
    </row>
    <row r="7" spans="2:19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S7" s="68" t="s">
        <v>177</v>
      </c>
    </row>
    <row r="8" spans="2:19" ht="15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8"/>
      <c r="S8" s="68" t="s">
        <v>178</v>
      </c>
    </row>
    <row r="9" spans="2:19" ht="51" customHeight="1">
      <c r="B9" s="7"/>
      <c r="C9" s="41" t="s">
        <v>1</v>
      </c>
      <c r="D9" s="41" t="s">
        <v>31</v>
      </c>
      <c r="E9" s="41" t="s">
        <v>32</v>
      </c>
      <c r="F9" s="41" t="s">
        <v>34</v>
      </c>
      <c r="G9" s="41" t="s">
        <v>135</v>
      </c>
      <c r="H9" s="41" t="s">
        <v>112</v>
      </c>
      <c r="I9" s="41" t="s">
        <v>33</v>
      </c>
      <c r="J9" s="41" t="str">
        <f>CONCATENATE("Дополнительная заработная плата, руб. (",('Калькуляция (тр.режим)'!H16*100),"%)")</f>
        <v>Дополнительная заработная плата, руб. (15%)</v>
      </c>
      <c r="K9" s="41" t="str">
        <f>CONCATENATE("Отчисления от заработной платы, руб., (",('Калькуляция (тр.режим)'!H17*100),"%)")</f>
        <v>Отчисления от заработной платы, руб., (34%)</v>
      </c>
      <c r="L9" s="41" t="str">
        <f>CONCATENATE("Обязательное страхование, руб., (",('Калькуляция (тр.режим)'!H18*100),"%)")</f>
        <v>Обязательное страхование, руб., (0,6%)</v>
      </c>
      <c r="M9" s="41" t="s">
        <v>125</v>
      </c>
      <c r="N9" s="41" t="str">
        <f>CONCATENATE("Цеховые расходы, руб.,  (",('Калькуляция (тр.режим)'!H19*100),"%)")</f>
        <v>Цеховые расходы, руб.,  (51,43%)</v>
      </c>
      <c r="O9" s="41" t="str">
        <f>CONCATENATE("Общехозяй- ственные расходы, руб.  (",('Калькуляция (тр.режим)'!H20*100),"%)")</f>
        <v>Общехозяй- ственные расходы, руб.  (40,77%)</v>
      </c>
      <c r="P9" s="41" t="s">
        <v>35</v>
      </c>
      <c r="Q9" s="8"/>
      <c r="S9" s="68" t="s">
        <v>179</v>
      </c>
    </row>
    <row r="10" spans="2:32" ht="31.5">
      <c r="B10" s="7"/>
      <c r="C10" s="14">
        <v>1</v>
      </c>
      <c r="D10" s="70" t="str">
        <f>'Себестоимость(тр.режим)'!D10</f>
        <v>Бульдозер-экскаватор ДЗ-133 ЭЦ-40 (шасси МТЗ-82.1, дв. Д-243)</v>
      </c>
      <c r="E10" s="70" t="str">
        <f>'Себестоимость(тр.режим)'!E10</f>
        <v>6765 АА-5</v>
      </c>
      <c r="F10" s="70" t="str">
        <f>'Себестоимость(тр.режим)'!F10</f>
        <v>Трансп. цех</v>
      </c>
      <c r="G10" s="50">
        <f>ГСМ!Q11</f>
        <v>13110</v>
      </c>
      <c r="H10" s="50">
        <f>СМ!Q11</f>
        <v>878</v>
      </c>
      <c r="I10" s="50">
        <f>IF(ЗП!AA14=0,"-",ЗП!AA14)</f>
        <v>7131</v>
      </c>
      <c r="J10" s="50">
        <f>IF(I10="-","-",ROUND(I10*'Калькуляция (тр.режим)'!$H$16,0))</f>
        <v>1070</v>
      </c>
      <c r="K10" s="16">
        <f>IF(I10="-","-",ROUND((I10+J10)*'Калькуляция (тр.режим)'!$H$17,0))</f>
        <v>2788</v>
      </c>
      <c r="L10" s="16">
        <f>IF(I10="-","-",ROUND((I10+J10)*'Калькуляция (тр.режим)'!$H$18,0))</f>
        <v>49</v>
      </c>
      <c r="M10" s="16">
        <f>амортизация!J10</f>
        <v>5521</v>
      </c>
      <c r="N10" s="16">
        <f>IF(I10="-","-",ROUND((I10*'Калькуляция (тр.режим)'!$H$19),0))</f>
        <v>3667</v>
      </c>
      <c r="O10" s="16">
        <f>IF(I10="-","-",ROUND((I10*'Калькуляция (тр.режим)'!$H$20),0))</f>
        <v>2907</v>
      </c>
      <c r="P10" s="16">
        <f>SUM(G10:O10)</f>
        <v>37121</v>
      </c>
      <c r="Q10" s="8"/>
      <c r="R10" s="67"/>
      <c r="S10" s="68" t="s">
        <v>180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2:32" ht="42">
      <c r="B11" s="7"/>
      <c r="C11" s="14">
        <f>C10+1</f>
        <v>2</v>
      </c>
      <c r="D11" s="70" t="str">
        <f>IF('Себестоимость(тр.режим)'!D11=0,"-",'Себестоимость(тр.режим)'!D11)</f>
        <v>Погрузчик-экскаватор Caterpillar CAT-428Е (дв. CAT-3054C DIT, 72,8 kW)</v>
      </c>
      <c r="E11" s="70" t="str">
        <f>IF('Себестоимость(тр.режим)'!E11=0,"-",'Себестоимость(тр.режим)'!E11)</f>
        <v>5642 ВВ-5</v>
      </c>
      <c r="F11" s="70" t="str">
        <f>IF('Себестоимость(тр.режим)'!F11=0,"-",'Себестоимость(тр.режим)'!F11)</f>
        <v>Трансп. цех</v>
      </c>
      <c r="G11" s="50">
        <f>ГСМ!Q12</f>
        <v>29925</v>
      </c>
      <c r="H11" s="50">
        <f>СМ!Q12</f>
        <v>2004</v>
      </c>
      <c r="I11" s="50">
        <f>IF(ЗП!AA15=0,"-",ЗП!AA15)</f>
        <v>12222</v>
      </c>
      <c r="J11" s="50">
        <f>IF(I11="-","-",ROUND(I11*'Калькуляция (тр.режим)'!$H$16,0))</f>
        <v>1833</v>
      </c>
      <c r="K11" s="16">
        <f>IF(I11="-","-",ROUND((I11+J11)*'Калькуляция (тр.режим)'!$H$17,0))</f>
        <v>4779</v>
      </c>
      <c r="L11" s="16">
        <f>IF(I11="-","-",ROUND((I11+J11)*'Калькуляция (тр.режим)'!$H$18,0))</f>
        <v>84</v>
      </c>
      <c r="M11" s="16">
        <f>амортизация!J11</f>
        <v>4012</v>
      </c>
      <c r="N11" s="16">
        <f>IF(I11="-","-",ROUND((I11*'Калькуляция (тр.режим)'!$H$19),0))</f>
        <v>6286</v>
      </c>
      <c r="O11" s="16">
        <f>IF(I11="-","-",ROUND((I11*'Калькуляция (тр.режим)'!$H$20),0))</f>
        <v>4983</v>
      </c>
      <c r="P11" s="16">
        <f>IF(G11="-","-",SUM(G11:O11))</f>
        <v>66128</v>
      </c>
      <c r="Q11" s="8"/>
      <c r="R11" s="67"/>
      <c r="S11" s="68" t="s">
        <v>181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2:32" ht="31.5">
      <c r="B12" s="7"/>
      <c r="C12" s="14">
        <f aca="true" t="shared" si="0" ref="C12:C30">C11+1</f>
        <v>3</v>
      </c>
      <c r="D12" s="70" t="str">
        <f>IF('Себестоимость(тр.режим)'!D12=0,"-",'Себестоимость(тр.режим)'!D12)</f>
        <v>Погрузчик ТО-49 (шасси МТЗ-82, дв. Д-240) </v>
      </c>
      <c r="E12" s="70" t="str">
        <f>IF('Себестоимость(тр.режим)'!E12=0,"-",'Себестоимость(тр.режим)'!E12)</f>
        <v>4455 EA-5</v>
      </c>
      <c r="F12" s="70" t="str">
        <f>IF('Себестоимость(тр.режим)'!F12=0,"-",'Себестоимость(тр.режим)'!F12)</f>
        <v>Трансп. цех</v>
      </c>
      <c r="G12" s="50">
        <f>ГСМ!Q13</f>
        <v>15105</v>
      </c>
      <c r="H12" s="50">
        <f>СМ!Q13</f>
        <v>1011</v>
      </c>
      <c r="I12" s="50">
        <f>IF(ЗП!AA16=0,"-",ЗП!AA16)</f>
        <v>5432</v>
      </c>
      <c r="J12" s="50">
        <f>IF(I12="-","-",ROUND(I12*'Калькуляция (тр.режим)'!$H$16,0))</f>
        <v>815</v>
      </c>
      <c r="K12" s="16">
        <f>IF(I12="-","-",ROUND((I12+J12)*'Калькуляция (тр.режим)'!$H$17,0))</f>
        <v>2124</v>
      </c>
      <c r="L12" s="16">
        <f>IF(I12="-","-",ROUND((I12+J12)*'Калькуляция (тр.режим)'!$H$18,0))</f>
        <v>37</v>
      </c>
      <c r="M12" s="16">
        <f>амортизация!J12</f>
        <v>4012</v>
      </c>
      <c r="N12" s="16">
        <f>IF(I12="-","-",ROUND((I12*'Калькуляция (тр.режим)'!$H$19),0))</f>
        <v>2794</v>
      </c>
      <c r="O12" s="16">
        <f>IF(I12="-","-",ROUND((I12*'Калькуляция (тр.режим)'!$H$20),0))</f>
        <v>2215</v>
      </c>
      <c r="P12" s="16">
        <f aca="true" t="shared" si="1" ref="P12:P30">IF(G12="-","-",SUM(G12:O12))</f>
        <v>33545</v>
      </c>
      <c r="Q12" s="8"/>
      <c r="R12" s="67"/>
      <c r="S12" s="68" t="s">
        <v>183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2:32" ht="42">
      <c r="B13" s="7"/>
      <c r="C13" s="14">
        <f t="shared" si="0"/>
        <v>4</v>
      </c>
      <c r="D13" s="70" t="str">
        <f>IF('Себестоимость(тр.режим)'!D13=0,"-",'Себестоимость(тр.режим)'!D13)</f>
        <v>Погрузчик-экскаватор JCB 3CX SITEMASTER GP (дв. JCB444T, JCB444T1, 68 kW)</v>
      </c>
      <c r="E13" s="70" t="str">
        <f>IF('Себестоимость(тр.режим)'!E13=0,"-",'Себестоимость(тр.режим)'!E13)</f>
        <v>4785 AX-5</v>
      </c>
      <c r="F13" s="70" t="str">
        <f>IF('Себестоимость(тр.режим)'!F13=0,"-",'Себестоимость(тр.режим)'!F13)</f>
        <v>Трансп. цех</v>
      </c>
      <c r="G13" s="50">
        <f>ГСМ!Q14</f>
        <v>23085</v>
      </c>
      <c r="H13" s="50">
        <f>СМ!Q14</f>
        <v>1546</v>
      </c>
      <c r="I13" s="50">
        <f>IF(ЗП!AA17=0,"-",ЗП!AA17)</f>
        <v>6111</v>
      </c>
      <c r="J13" s="50">
        <f>IF(I13="-","-",ROUND(I13*'Калькуляция (тр.режим)'!$H$16,0))</f>
        <v>917</v>
      </c>
      <c r="K13" s="16">
        <f>IF(I13="-","-",ROUND((I13+J13)*'Калькуляция (тр.режим)'!$H$17,0))</f>
        <v>2390</v>
      </c>
      <c r="L13" s="16">
        <f>IF(I13="-","-",ROUND((I13+J13)*'Калькуляция (тр.режим)'!$H$18,0))</f>
        <v>42</v>
      </c>
      <c r="M13" s="16">
        <f>амортизация!J13</f>
        <v>4012</v>
      </c>
      <c r="N13" s="16">
        <f>IF(I13="-","-",ROUND((I13*'Калькуляция (тр.режим)'!$H$19),0))</f>
        <v>3143</v>
      </c>
      <c r="O13" s="16">
        <f>IF(I13="-","-",ROUND((I13*'Калькуляция (тр.режим)'!$H$20),0))</f>
        <v>2491</v>
      </c>
      <c r="P13" s="16">
        <f t="shared" si="1"/>
        <v>43737</v>
      </c>
      <c r="Q13" s="8"/>
      <c r="R13" s="67"/>
      <c r="S13" s="68" t="s">
        <v>184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2:32" ht="31.5">
      <c r="B14" s="7"/>
      <c r="C14" s="14">
        <f t="shared" si="0"/>
        <v>5</v>
      </c>
      <c r="D14" s="70" t="str">
        <f>IF('Себестоимость(тр.режим)'!D14=0,"-",'Себестоимость(тр.режим)'!D14)</f>
        <v>Погрузчик-экскаватор ПЭ-82 (шасси МТЗ-82П, дв. Д-243, Д-243-486)</v>
      </c>
      <c r="E14" s="70" t="str">
        <f>IF('Себестоимость(тр.режим)'!E14=0,"-",'Себестоимость(тр.режим)'!E14)</f>
        <v>2210 KK-5</v>
      </c>
      <c r="F14" s="70" t="str">
        <f>IF('Себестоимость(тр.режим)'!F14=0,"-",'Себестоимость(тр.режим)'!F14)</f>
        <v>Трансп. цех</v>
      </c>
      <c r="G14" s="50">
        <f>ГСМ!Q15</f>
        <v>13110</v>
      </c>
      <c r="H14" s="50">
        <f>СМ!Q15</f>
        <v>878</v>
      </c>
      <c r="I14" s="50">
        <f>IF(ЗП!AA18=0,"-",ЗП!AA18)</f>
        <v>5306</v>
      </c>
      <c r="J14" s="50">
        <f>IF(I14="-","-",ROUND(I14*'Калькуляция (тр.режим)'!$H$16,0))</f>
        <v>796</v>
      </c>
      <c r="K14" s="16">
        <f>IF(I14="-","-",ROUND((I14+J14)*'Калькуляция (тр.режим)'!$H$17,0))</f>
        <v>2075</v>
      </c>
      <c r="L14" s="16">
        <f>IF(I14="-","-",ROUND((I14+J14)*'Калькуляция (тр.режим)'!$H$18,0))</f>
        <v>37</v>
      </c>
      <c r="M14" s="16">
        <f>амортизация!J14</f>
        <v>7351</v>
      </c>
      <c r="N14" s="16">
        <f>IF(I14="-","-",ROUND((I14*'Калькуляция (тр.режим)'!$H$19),0))</f>
        <v>2729</v>
      </c>
      <c r="O14" s="16">
        <f>IF(I14="-","-",ROUND((I14*'Калькуляция (тр.режим)'!$H$20),0))</f>
        <v>2163</v>
      </c>
      <c r="P14" s="16">
        <f t="shared" si="1"/>
        <v>34445</v>
      </c>
      <c r="Q14" s="8"/>
      <c r="R14" s="67"/>
      <c r="S14" s="68" t="s">
        <v>118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2:32" ht="15">
      <c r="B15" s="7"/>
      <c r="C15" s="14">
        <f t="shared" si="0"/>
        <v>6</v>
      </c>
      <c r="D15" s="70" t="str">
        <f>IF('Себестоимость(тр.режим)'!D15=0,"-",'Себестоимость(тр.режим)'!D15)</f>
        <v>-</v>
      </c>
      <c r="E15" s="70" t="str">
        <f>IF('Себестоимость(тр.режим)'!E15=0,"-",'Себестоимость(тр.режим)'!E15)</f>
        <v>-</v>
      </c>
      <c r="F15" s="70" t="str">
        <f>IF('Себестоимость(тр.режим)'!F15=0,"-",'Себестоимость(тр.режим)'!F15)</f>
        <v>-</v>
      </c>
      <c r="G15" s="50" t="str">
        <f>ГСМ!Q16</f>
        <v>-</v>
      </c>
      <c r="H15" s="50" t="str">
        <f>СМ!Q16</f>
        <v>-</v>
      </c>
      <c r="I15" s="50" t="str">
        <f>IF(ЗП!AA19=0,"-",ЗП!AA19)</f>
        <v>-</v>
      </c>
      <c r="J15" s="50" t="str">
        <f>IF(I15="-","-",ROUND(I15*'Калькуляция (тр.режим)'!$H$16,0))</f>
        <v>-</v>
      </c>
      <c r="K15" s="16" t="str">
        <f>IF(I15="-","-",ROUND((I15+J15)*'Калькуляция (тр.режим)'!$H$17,0))</f>
        <v>-</v>
      </c>
      <c r="L15" s="16" t="str">
        <f>IF(I15="-","-",ROUND((I15+J15)*'Калькуляция (тр.режим)'!$H$18,0))</f>
        <v>-</v>
      </c>
      <c r="M15" s="16" t="str">
        <f>амортизация!J15</f>
        <v>-</v>
      </c>
      <c r="N15" s="16" t="str">
        <f>IF(I15="-","-",ROUND((I15*'Калькуляция (тр.режим)'!$H$19),0))</f>
        <v>-</v>
      </c>
      <c r="O15" s="16" t="str">
        <f>IF(I15="-","-",ROUND((I15*'Калькуляция (тр.режим)'!$H$20),0))</f>
        <v>-</v>
      </c>
      <c r="P15" s="16" t="str">
        <f t="shared" si="1"/>
        <v>-</v>
      </c>
      <c r="Q15" s="8"/>
      <c r="R15" s="67"/>
      <c r="S15" s="68" t="s">
        <v>92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2:32" ht="15">
      <c r="B16" s="7"/>
      <c r="C16" s="14">
        <f t="shared" si="0"/>
        <v>7</v>
      </c>
      <c r="D16" s="70" t="str">
        <f>IF('Себестоимость(тр.режим)'!D16=0,"-",'Себестоимость(тр.режим)'!D16)</f>
        <v>-</v>
      </c>
      <c r="E16" s="70" t="str">
        <f>IF('Себестоимость(тр.режим)'!E16=0,"-",'Себестоимость(тр.режим)'!E16)</f>
        <v>-</v>
      </c>
      <c r="F16" s="70" t="str">
        <f>IF('Себестоимость(тр.режим)'!F16=0,"-",'Себестоимость(тр.режим)'!F16)</f>
        <v>-</v>
      </c>
      <c r="G16" s="50" t="str">
        <f>ГСМ!Q17</f>
        <v>-</v>
      </c>
      <c r="H16" s="50" t="str">
        <f>СМ!Q17</f>
        <v>-</v>
      </c>
      <c r="I16" s="50" t="str">
        <f>IF(ЗП!AA20=0,"-",ЗП!AA20)</f>
        <v>-</v>
      </c>
      <c r="J16" s="50" t="str">
        <f>IF(I16="-","-",ROUND(I16*'Калькуляция (тр.режим)'!$H$16,0))</f>
        <v>-</v>
      </c>
      <c r="K16" s="16" t="str">
        <f>IF(I16="-","-",ROUND((I16+J16)*'Калькуляция (тр.режим)'!$H$17,0))</f>
        <v>-</v>
      </c>
      <c r="L16" s="16" t="str">
        <f>IF(I16="-","-",ROUND((I16+J16)*'Калькуляция (тр.режим)'!$H$18,0))</f>
        <v>-</v>
      </c>
      <c r="M16" s="16" t="str">
        <f>амортизация!J16</f>
        <v>-</v>
      </c>
      <c r="N16" s="16" t="str">
        <f>IF(I16="-","-",ROUND((I16*'Калькуляция (тр.режим)'!$H$19),0))</f>
        <v>-</v>
      </c>
      <c r="O16" s="16" t="str">
        <f>IF(I16="-","-",ROUND((I16*'Калькуляция (тр.режим)'!$H$20),0))</f>
        <v>-</v>
      </c>
      <c r="P16" s="16" t="str">
        <f t="shared" si="1"/>
        <v>-</v>
      </c>
      <c r="Q16" s="8"/>
      <c r="R16" s="67"/>
      <c r="S16" s="68" t="s">
        <v>108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2:32" ht="15">
      <c r="B17" s="7"/>
      <c r="C17" s="14">
        <f t="shared" si="0"/>
        <v>8</v>
      </c>
      <c r="D17" s="70" t="str">
        <f>IF('Себестоимость(тр.режим)'!D17=0,"-",'Себестоимость(тр.режим)'!D17)</f>
        <v>-</v>
      </c>
      <c r="E17" s="70" t="str">
        <f>IF('Себестоимость(тр.режим)'!E17=0,"-",'Себестоимость(тр.режим)'!E17)</f>
        <v>-</v>
      </c>
      <c r="F17" s="70" t="str">
        <f>IF('Себестоимость(тр.режим)'!F17=0,"-",'Себестоимость(тр.режим)'!F17)</f>
        <v>-</v>
      </c>
      <c r="G17" s="50" t="str">
        <f>ГСМ!Q18</f>
        <v>-</v>
      </c>
      <c r="H17" s="50" t="str">
        <f>СМ!Q18</f>
        <v>-</v>
      </c>
      <c r="I17" s="50" t="str">
        <f>IF(ЗП!AA21=0,"-",ЗП!AA21)</f>
        <v>-</v>
      </c>
      <c r="J17" s="50" t="str">
        <f>IF(I17="-","-",ROUND(I17*'Калькуляция (тр.режим)'!$H$16,0))</f>
        <v>-</v>
      </c>
      <c r="K17" s="16" t="str">
        <f>IF(I17="-","-",ROUND((I17+J17)*'Калькуляция (тр.режим)'!$H$17,0))</f>
        <v>-</v>
      </c>
      <c r="L17" s="16" t="str">
        <f>IF(I17="-","-",ROUND((I17+J17)*'Калькуляция (тр.режим)'!$H$18,0))</f>
        <v>-</v>
      </c>
      <c r="M17" s="16" t="str">
        <f>амортизация!J17</f>
        <v>-</v>
      </c>
      <c r="N17" s="16" t="str">
        <f>IF(I17="-","-",ROUND((I17*'Калькуляция (тр.режим)'!$H$19),0))</f>
        <v>-</v>
      </c>
      <c r="O17" s="16" t="str">
        <f>IF(I17="-","-",ROUND((I17*'Калькуляция (тр.режим)'!$H$20),0))</f>
        <v>-</v>
      </c>
      <c r="P17" s="16" t="str">
        <f t="shared" si="1"/>
        <v>-</v>
      </c>
      <c r="Q17" s="8"/>
      <c r="R17" s="67"/>
      <c r="S17" s="68" t="s">
        <v>117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2:32" ht="10.5">
      <c r="B18" s="7"/>
      <c r="C18" s="14">
        <f t="shared" si="0"/>
        <v>9</v>
      </c>
      <c r="D18" s="70" t="str">
        <f>IF('Себестоимость(тр.режим)'!D18=0,"-",'Себестоимость(тр.режим)'!D18)</f>
        <v>-</v>
      </c>
      <c r="E18" s="70" t="str">
        <f>IF('Себестоимость(тр.режим)'!E18=0,"-",'Себестоимость(тр.режим)'!E18)</f>
        <v>-</v>
      </c>
      <c r="F18" s="70" t="str">
        <f>IF('Себестоимость(тр.режим)'!F18=0,"-",'Себестоимость(тр.режим)'!F18)</f>
        <v>-</v>
      </c>
      <c r="G18" s="50" t="str">
        <f>ГСМ!Q19</f>
        <v>-</v>
      </c>
      <c r="H18" s="50" t="str">
        <f>СМ!Q19</f>
        <v>-</v>
      </c>
      <c r="I18" s="50" t="str">
        <f>IF(ЗП!AA22=0,"-",ЗП!AA22)</f>
        <v>-</v>
      </c>
      <c r="J18" s="50" t="str">
        <f>IF(I18="-","-",ROUND(I18*'Калькуляция (тр.режим)'!$H$16,0))</f>
        <v>-</v>
      </c>
      <c r="K18" s="16" t="str">
        <f>IF(I18="-","-",ROUND((I18+J18)*'Калькуляция (тр.режим)'!$H$17,0))</f>
        <v>-</v>
      </c>
      <c r="L18" s="16" t="str">
        <f>IF(I18="-","-",ROUND((I18+J18)*'Калькуляция (тр.режим)'!$H$18,0))</f>
        <v>-</v>
      </c>
      <c r="M18" s="16" t="str">
        <f>амортизация!J18</f>
        <v>-</v>
      </c>
      <c r="N18" s="16" t="str">
        <f>IF(I18="-","-",ROUND((I18*'Калькуляция (тр.режим)'!$H$19),0))</f>
        <v>-</v>
      </c>
      <c r="O18" s="16" t="str">
        <f>IF(I18="-","-",ROUND((I18*'Калькуляция (тр.режим)'!$H$20),0))</f>
        <v>-</v>
      </c>
      <c r="P18" s="16" t="str">
        <f t="shared" si="1"/>
        <v>-</v>
      </c>
      <c r="Q18" s="8"/>
      <c r="R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2:32" ht="10.5">
      <c r="B19" s="7"/>
      <c r="C19" s="14">
        <f t="shared" si="0"/>
        <v>10</v>
      </c>
      <c r="D19" s="70" t="str">
        <f>IF('Себестоимость(тр.режим)'!D19=0,"-",'Себестоимость(тр.режим)'!D19)</f>
        <v>-</v>
      </c>
      <c r="E19" s="70" t="str">
        <f>IF('Себестоимость(тр.режим)'!E19=0,"-",'Себестоимость(тр.режим)'!E19)</f>
        <v>-</v>
      </c>
      <c r="F19" s="70" t="str">
        <f>IF('Себестоимость(тр.режим)'!F19=0,"-",'Себестоимость(тр.режим)'!F19)</f>
        <v>-</v>
      </c>
      <c r="G19" s="50" t="str">
        <f>ГСМ!Q20</f>
        <v>-</v>
      </c>
      <c r="H19" s="50" t="str">
        <f>СМ!Q20</f>
        <v>-</v>
      </c>
      <c r="I19" s="50" t="str">
        <f>IF(ЗП!AA23=0,"-",ЗП!AA23)</f>
        <v>-</v>
      </c>
      <c r="J19" s="50" t="str">
        <f>IF(I19="-","-",ROUND(I19*'Калькуляция (тр.режим)'!$H$16,0))</f>
        <v>-</v>
      </c>
      <c r="K19" s="16" t="str">
        <f>IF(I19="-","-",ROUND((I19+J19)*'Калькуляция (тр.режим)'!$H$17,0))</f>
        <v>-</v>
      </c>
      <c r="L19" s="16" t="str">
        <f>IF(I19="-","-",ROUND((I19+J19)*'Калькуляция (тр.режим)'!$H$18,0))</f>
        <v>-</v>
      </c>
      <c r="M19" s="16" t="str">
        <f>амортизация!J19</f>
        <v>-</v>
      </c>
      <c r="N19" s="16" t="str">
        <f>IF(I19="-","-",ROUND((I19*'Калькуляция (тр.режим)'!$H$19),0))</f>
        <v>-</v>
      </c>
      <c r="O19" s="16" t="str">
        <f>IF(I19="-","-",ROUND((I19*'Калькуляция (тр.режим)'!$H$20),0))</f>
        <v>-</v>
      </c>
      <c r="P19" s="16" t="str">
        <f t="shared" si="1"/>
        <v>-</v>
      </c>
      <c r="Q19" s="8"/>
      <c r="R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2:32" ht="10.5">
      <c r="B20" s="7"/>
      <c r="C20" s="14">
        <f t="shared" si="0"/>
        <v>11</v>
      </c>
      <c r="D20" s="70" t="str">
        <f>IF('Себестоимость(тр.режим)'!D20=0,"-",'Себестоимость(тр.режим)'!D20)</f>
        <v>-</v>
      </c>
      <c r="E20" s="70" t="str">
        <f>IF('Себестоимость(тр.режим)'!E20=0,"-",'Себестоимость(тр.режим)'!E20)</f>
        <v>-</v>
      </c>
      <c r="F20" s="70" t="str">
        <f>IF('Себестоимость(тр.режим)'!F20=0,"-",'Себестоимость(тр.режим)'!F20)</f>
        <v>-</v>
      </c>
      <c r="G20" s="50" t="str">
        <f>ГСМ!Q21</f>
        <v>-</v>
      </c>
      <c r="H20" s="50" t="str">
        <f>СМ!Q21</f>
        <v>-</v>
      </c>
      <c r="I20" s="50" t="str">
        <f>IF(ЗП!AA24=0,"-",ЗП!AA24)</f>
        <v>-</v>
      </c>
      <c r="J20" s="50" t="str">
        <f>IF(I20="-","-",ROUND(I20*'Калькуляция (тр.режим)'!$H$16,0))</f>
        <v>-</v>
      </c>
      <c r="K20" s="16" t="str">
        <f>IF(I20="-","-",ROUND((I20+J20)*'Калькуляция (тр.режим)'!$H$17,0))</f>
        <v>-</v>
      </c>
      <c r="L20" s="16" t="str">
        <f>IF(I20="-","-",ROUND((I20+J20)*'Калькуляция (тр.режим)'!$H$18,0))</f>
        <v>-</v>
      </c>
      <c r="M20" s="16" t="str">
        <f>амортизация!J20</f>
        <v>-</v>
      </c>
      <c r="N20" s="16" t="str">
        <f>IF(I20="-","-",ROUND((I20*'Калькуляция (тр.режим)'!$H$19),0))</f>
        <v>-</v>
      </c>
      <c r="O20" s="16" t="str">
        <f>IF(I20="-","-",ROUND((I20*'Калькуляция (тр.режим)'!$H$20),0))</f>
        <v>-</v>
      </c>
      <c r="P20" s="16" t="str">
        <f t="shared" si="1"/>
        <v>-</v>
      </c>
      <c r="Q20" s="8"/>
      <c r="R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2:32" ht="10.5">
      <c r="B21" s="7"/>
      <c r="C21" s="14">
        <f t="shared" si="0"/>
        <v>12</v>
      </c>
      <c r="D21" s="70" t="str">
        <f>IF('Себестоимость(тр.режим)'!D21=0,"-",'Себестоимость(тр.режим)'!D21)</f>
        <v>-</v>
      </c>
      <c r="E21" s="70" t="str">
        <f>IF('Себестоимость(тр.режим)'!E21=0,"-",'Себестоимость(тр.режим)'!E21)</f>
        <v>-</v>
      </c>
      <c r="F21" s="70" t="str">
        <f>IF('Себестоимость(тр.режим)'!F21=0,"-",'Себестоимость(тр.режим)'!F21)</f>
        <v>-</v>
      </c>
      <c r="G21" s="50" t="str">
        <f>ГСМ!Q22</f>
        <v>-</v>
      </c>
      <c r="H21" s="50" t="str">
        <f>СМ!Q22</f>
        <v>-</v>
      </c>
      <c r="I21" s="50" t="str">
        <f>IF(ЗП!AA25=0,"-",ЗП!AA25)</f>
        <v>-</v>
      </c>
      <c r="J21" s="50" t="str">
        <f>IF(I21="-","-",ROUND(I21*'Калькуляция (тр.режим)'!$H$16,0))</f>
        <v>-</v>
      </c>
      <c r="K21" s="16" t="str">
        <f>IF(I21="-","-",ROUND((I21+J21)*'Калькуляция (тр.режим)'!$H$17,0))</f>
        <v>-</v>
      </c>
      <c r="L21" s="16" t="str">
        <f>IF(I21="-","-",ROUND((I21+J21)*'Калькуляция (тр.режим)'!$H$18,0))</f>
        <v>-</v>
      </c>
      <c r="M21" s="16" t="str">
        <f>амортизация!J21</f>
        <v>-</v>
      </c>
      <c r="N21" s="16" t="str">
        <f>IF(I21="-","-",ROUND((I21*'Калькуляция (тр.режим)'!$H$19),0))</f>
        <v>-</v>
      </c>
      <c r="O21" s="16" t="str">
        <f>IF(I21="-","-",ROUND((I21*'Калькуляция (тр.режим)'!$H$20),0))</f>
        <v>-</v>
      </c>
      <c r="P21" s="16" t="str">
        <f t="shared" si="1"/>
        <v>-</v>
      </c>
      <c r="Q21" s="8"/>
      <c r="R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2:32" ht="10.5">
      <c r="B22" s="7"/>
      <c r="C22" s="14">
        <f t="shared" si="0"/>
        <v>13</v>
      </c>
      <c r="D22" s="70" t="str">
        <f>IF('Себестоимость(тр.режим)'!D22=0,"-",'Себестоимость(тр.режим)'!D22)</f>
        <v>-</v>
      </c>
      <c r="E22" s="70" t="str">
        <f>IF('Себестоимость(тр.режим)'!E22=0,"-",'Себестоимость(тр.режим)'!E22)</f>
        <v>-</v>
      </c>
      <c r="F22" s="70" t="str">
        <f>IF('Себестоимость(тр.режим)'!F22=0,"-",'Себестоимость(тр.режим)'!F22)</f>
        <v>-</v>
      </c>
      <c r="G22" s="50" t="str">
        <f>ГСМ!Q23</f>
        <v>-</v>
      </c>
      <c r="H22" s="50" t="str">
        <f>СМ!Q23</f>
        <v>-</v>
      </c>
      <c r="I22" s="50" t="str">
        <f>IF(ЗП!AA26=0,"-",ЗП!AA26)</f>
        <v>-</v>
      </c>
      <c r="J22" s="50" t="str">
        <f>IF(I22="-","-",ROUND(I22*'Калькуляция (тр.режим)'!$H$16,0))</f>
        <v>-</v>
      </c>
      <c r="K22" s="16" t="str">
        <f>IF(I22="-","-",ROUND((I22+J22)*'Калькуляция (тр.режим)'!$H$17,0))</f>
        <v>-</v>
      </c>
      <c r="L22" s="16" t="str">
        <f>IF(I22="-","-",ROUND((I22+J22)*'Калькуляция (тр.режим)'!$H$18,0))</f>
        <v>-</v>
      </c>
      <c r="M22" s="16" t="str">
        <f>амортизация!J22</f>
        <v>-</v>
      </c>
      <c r="N22" s="16" t="str">
        <f>IF(I22="-","-",ROUND((I22*'Калькуляция (тр.режим)'!$H$19),0))</f>
        <v>-</v>
      </c>
      <c r="O22" s="16" t="str">
        <f>IF(I22="-","-",ROUND((I22*'Калькуляция (тр.режим)'!$H$20),0))</f>
        <v>-</v>
      </c>
      <c r="P22" s="16" t="str">
        <f t="shared" si="1"/>
        <v>-</v>
      </c>
      <c r="Q22" s="8"/>
      <c r="R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2:32" ht="10.5">
      <c r="B23" s="7"/>
      <c r="C23" s="14">
        <f t="shared" si="0"/>
        <v>14</v>
      </c>
      <c r="D23" s="70" t="str">
        <f>IF('Себестоимость(тр.режим)'!D23=0,"-",'Себестоимость(тр.режим)'!D23)</f>
        <v>-</v>
      </c>
      <c r="E23" s="70" t="str">
        <f>IF('Себестоимость(тр.режим)'!E23=0,"-",'Себестоимость(тр.режим)'!E23)</f>
        <v>-</v>
      </c>
      <c r="F23" s="70" t="str">
        <f>IF('Себестоимость(тр.режим)'!F23=0,"-",'Себестоимость(тр.режим)'!F23)</f>
        <v>-</v>
      </c>
      <c r="G23" s="50" t="str">
        <f>ГСМ!Q24</f>
        <v>-</v>
      </c>
      <c r="H23" s="50" t="str">
        <f>СМ!Q24</f>
        <v>-</v>
      </c>
      <c r="I23" s="50" t="str">
        <f>IF(ЗП!AA27=0,"-",ЗП!AA27)</f>
        <v>-</v>
      </c>
      <c r="J23" s="50" t="str">
        <f>IF(I23="-","-",ROUND(I23*'Калькуляция (тр.режим)'!$H$16,0))</f>
        <v>-</v>
      </c>
      <c r="K23" s="16" t="str">
        <f>IF(I23="-","-",ROUND((I23+J23)*'Калькуляция (тр.режим)'!$H$17,0))</f>
        <v>-</v>
      </c>
      <c r="L23" s="16" t="str">
        <f>IF(I23="-","-",ROUND((I23+J23)*'Калькуляция (тр.режим)'!$H$18,0))</f>
        <v>-</v>
      </c>
      <c r="M23" s="16" t="str">
        <f>амортизация!J23</f>
        <v>-</v>
      </c>
      <c r="N23" s="16" t="str">
        <f>IF(I23="-","-",ROUND((I23*'Калькуляция (тр.режим)'!$H$19),0))</f>
        <v>-</v>
      </c>
      <c r="O23" s="16" t="str">
        <f>IF(I23="-","-",ROUND((I23*'Калькуляция (тр.режим)'!$H$20),0))</f>
        <v>-</v>
      </c>
      <c r="P23" s="16" t="str">
        <f t="shared" si="1"/>
        <v>-</v>
      </c>
      <c r="Q23" s="8"/>
      <c r="R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2:32" ht="10.5">
      <c r="B24" s="7"/>
      <c r="C24" s="14">
        <f t="shared" si="0"/>
        <v>15</v>
      </c>
      <c r="D24" s="70" t="str">
        <f>IF('Себестоимость(тр.режим)'!D24=0,"-",'Себестоимость(тр.режим)'!D24)</f>
        <v>-</v>
      </c>
      <c r="E24" s="70" t="str">
        <f>IF('Себестоимость(тр.режим)'!E24=0,"-",'Себестоимость(тр.режим)'!E24)</f>
        <v>-</v>
      </c>
      <c r="F24" s="70" t="str">
        <f>IF('Себестоимость(тр.режим)'!F24=0,"-",'Себестоимость(тр.режим)'!F24)</f>
        <v>-</v>
      </c>
      <c r="G24" s="50" t="str">
        <f>ГСМ!Q25</f>
        <v>-</v>
      </c>
      <c r="H24" s="50" t="str">
        <f>СМ!Q25</f>
        <v>-</v>
      </c>
      <c r="I24" s="50" t="str">
        <f>IF(ЗП!AA28=0,"-",ЗП!AA28)</f>
        <v>-</v>
      </c>
      <c r="J24" s="50" t="str">
        <f>IF(I24="-","-",ROUND(I24*'Калькуляция (тр.режим)'!$H$16,0))</f>
        <v>-</v>
      </c>
      <c r="K24" s="16" t="str">
        <f>IF(I24="-","-",ROUND((I24+J24)*'Калькуляция (тр.режим)'!$H$17,0))</f>
        <v>-</v>
      </c>
      <c r="L24" s="16" t="str">
        <f>IF(I24="-","-",ROUND((I24+J24)*'Калькуляция (тр.режим)'!$H$18,0))</f>
        <v>-</v>
      </c>
      <c r="M24" s="16" t="str">
        <f>амортизация!J24</f>
        <v>-</v>
      </c>
      <c r="N24" s="16" t="str">
        <f>IF(I24="-","-",ROUND((I24*'Калькуляция (тр.режим)'!$H$19),0))</f>
        <v>-</v>
      </c>
      <c r="O24" s="16" t="str">
        <f>IF(I24="-","-",ROUND((I24*'Калькуляция (тр.режим)'!$H$20),0))</f>
        <v>-</v>
      </c>
      <c r="P24" s="16" t="str">
        <f t="shared" si="1"/>
        <v>-</v>
      </c>
      <c r="Q24" s="8"/>
      <c r="R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2:32" ht="10.5">
      <c r="B25" s="7"/>
      <c r="C25" s="14">
        <f t="shared" si="0"/>
        <v>16</v>
      </c>
      <c r="D25" s="70" t="str">
        <f>IF('Себестоимость(тр.режим)'!D25=0,"-",'Себестоимость(тр.режим)'!D25)</f>
        <v>-</v>
      </c>
      <c r="E25" s="70" t="str">
        <f>IF('Себестоимость(тр.режим)'!E25=0,"-",'Себестоимость(тр.режим)'!E25)</f>
        <v>-</v>
      </c>
      <c r="F25" s="70" t="str">
        <f>IF('Себестоимость(тр.режим)'!F25=0,"-",'Себестоимость(тр.режим)'!F25)</f>
        <v>-</v>
      </c>
      <c r="G25" s="50" t="str">
        <f>ГСМ!Q26</f>
        <v>-</v>
      </c>
      <c r="H25" s="50" t="str">
        <f>СМ!Q26</f>
        <v>-</v>
      </c>
      <c r="I25" s="50" t="str">
        <f>IF(ЗП!AA29=0,"-",ЗП!AA29)</f>
        <v>-</v>
      </c>
      <c r="J25" s="50" t="str">
        <f>IF(I25="-","-",ROUND(I25*'Калькуляция (тр.режим)'!$H$16,0))</f>
        <v>-</v>
      </c>
      <c r="K25" s="16" t="str">
        <f>IF(I25="-","-",ROUND((I25+J25)*'Калькуляция (тр.режим)'!$H$17,0))</f>
        <v>-</v>
      </c>
      <c r="L25" s="16" t="str">
        <f>IF(I25="-","-",ROUND((I25+J25)*'Калькуляция (тр.режим)'!$H$18,0))</f>
        <v>-</v>
      </c>
      <c r="M25" s="16" t="str">
        <f>амортизация!J25</f>
        <v>-</v>
      </c>
      <c r="N25" s="16" t="str">
        <f>IF(I25="-","-",ROUND((I25*'Калькуляция (тр.режим)'!$H$19),0))</f>
        <v>-</v>
      </c>
      <c r="O25" s="16" t="str">
        <f>IF(I25="-","-",ROUND((I25*'Калькуляция (тр.режим)'!$H$20),0))</f>
        <v>-</v>
      </c>
      <c r="P25" s="16" t="str">
        <f t="shared" si="1"/>
        <v>-</v>
      </c>
      <c r="Q25" s="8"/>
      <c r="R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2:32" ht="10.5">
      <c r="B26" s="7"/>
      <c r="C26" s="14">
        <f t="shared" si="0"/>
        <v>17</v>
      </c>
      <c r="D26" s="70" t="str">
        <f>IF('Себестоимость(тр.режим)'!D26=0,"-",'Себестоимость(тр.режим)'!D26)</f>
        <v>-</v>
      </c>
      <c r="E26" s="70" t="str">
        <f>IF('Себестоимость(тр.режим)'!E26=0,"-",'Себестоимость(тр.режим)'!E26)</f>
        <v>-</v>
      </c>
      <c r="F26" s="70" t="str">
        <f>IF('Себестоимость(тр.режим)'!F26=0,"-",'Себестоимость(тр.режим)'!F26)</f>
        <v>-</v>
      </c>
      <c r="G26" s="50" t="str">
        <f>ГСМ!Q27</f>
        <v>-</v>
      </c>
      <c r="H26" s="50" t="str">
        <f>СМ!Q27</f>
        <v>-</v>
      </c>
      <c r="I26" s="50" t="str">
        <f>IF(ЗП!AA30=0,"-",ЗП!AA30)</f>
        <v>-</v>
      </c>
      <c r="J26" s="50" t="str">
        <f>IF(I26="-","-",ROUND(I26*'Калькуляция (тр.режим)'!$H$16,0))</f>
        <v>-</v>
      </c>
      <c r="K26" s="16" t="str">
        <f>IF(I26="-","-",ROUND((I26+J26)*'Калькуляция (тр.режим)'!$H$17,0))</f>
        <v>-</v>
      </c>
      <c r="L26" s="16" t="str">
        <f>IF(I26="-","-",ROUND((I26+J26)*'Калькуляция (тр.режим)'!$H$18,0))</f>
        <v>-</v>
      </c>
      <c r="M26" s="16" t="str">
        <f>амортизация!J26</f>
        <v>-</v>
      </c>
      <c r="N26" s="16" t="str">
        <f>IF(I26="-","-",ROUND((I26*'Калькуляция (тр.режим)'!$H$19),0))</f>
        <v>-</v>
      </c>
      <c r="O26" s="16" t="str">
        <f>IF(I26="-","-",ROUND((I26*'Калькуляция (тр.режим)'!$H$20),0))</f>
        <v>-</v>
      </c>
      <c r="P26" s="16" t="str">
        <f t="shared" si="1"/>
        <v>-</v>
      </c>
      <c r="Q26" s="8"/>
      <c r="R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2:32" ht="10.5">
      <c r="B27" s="7"/>
      <c r="C27" s="14">
        <f t="shared" si="0"/>
        <v>18</v>
      </c>
      <c r="D27" s="70" t="str">
        <f>IF('Себестоимость(тр.режим)'!D27=0,"-",'Себестоимость(тр.режим)'!D27)</f>
        <v>-</v>
      </c>
      <c r="E27" s="70" t="str">
        <f>IF('Себестоимость(тр.режим)'!E27=0,"-",'Себестоимость(тр.режим)'!E27)</f>
        <v>-</v>
      </c>
      <c r="F27" s="70" t="str">
        <f>IF('Себестоимость(тр.режим)'!F27=0,"-",'Себестоимость(тр.режим)'!F27)</f>
        <v>-</v>
      </c>
      <c r="G27" s="50" t="str">
        <f>ГСМ!Q28</f>
        <v>-</v>
      </c>
      <c r="H27" s="50" t="str">
        <f>СМ!Q28</f>
        <v>-</v>
      </c>
      <c r="I27" s="50" t="str">
        <f>IF(ЗП!AA31=0,"-",ЗП!AA31)</f>
        <v>-</v>
      </c>
      <c r="J27" s="50" t="str">
        <f>IF(I27="-","-",ROUND(I27*'Калькуляция (тр.режим)'!$H$16,0))</f>
        <v>-</v>
      </c>
      <c r="K27" s="16" t="str">
        <f>IF(I27="-","-",ROUND((I27+J27)*'Калькуляция (тр.режим)'!$H$17,0))</f>
        <v>-</v>
      </c>
      <c r="L27" s="16" t="str">
        <f>IF(I27="-","-",ROUND((I27+J27)*'Калькуляция (тр.режим)'!$H$18,0))</f>
        <v>-</v>
      </c>
      <c r="M27" s="16" t="str">
        <f>амортизация!J27</f>
        <v>-</v>
      </c>
      <c r="N27" s="16" t="str">
        <f>IF(I27="-","-",ROUND((I27*'Калькуляция (тр.режим)'!$H$19),0))</f>
        <v>-</v>
      </c>
      <c r="O27" s="16" t="str">
        <f>IF(I27="-","-",ROUND((I27*'Калькуляция (тр.режим)'!$H$20),0))</f>
        <v>-</v>
      </c>
      <c r="P27" s="16" t="str">
        <f t="shared" si="1"/>
        <v>-</v>
      </c>
      <c r="Q27" s="8"/>
      <c r="R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2:32" ht="10.5">
      <c r="B28" s="7"/>
      <c r="C28" s="14">
        <f t="shared" si="0"/>
        <v>19</v>
      </c>
      <c r="D28" s="70" t="str">
        <f>IF('Себестоимость(тр.режим)'!D28=0,"-",'Себестоимость(тр.режим)'!D28)</f>
        <v>-</v>
      </c>
      <c r="E28" s="70" t="str">
        <f>IF('Себестоимость(тр.режим)'!E28=0,"-",'Себестоимость(тр.режим)'!E28)</f>
        <v>-</v>
      </c>
      <c r="F28" s="70" t="str">
        <f>IF('Себестоимость(тр.режим)'!F28=0,"-",'Себестоимость(тр.режим)'!F28)</f>
        <v>-</v>
      </c>
      <c r="G28" s="50" t="str">
        <f>ГСМ!Q29</f>
        <v>-</v>
      </c>
      <c r="H28" s="50" t="str">
        <f>СМ!Q29</f>
        <v>-</v>
      </c>
      <c r="I28" s="50" t="str">
        <f>IF(ЗП!AA32=0,"-",ЗП!AA32)</f>
        <v>-</v>
      </c>
      <c r="J28" s="50" t="str">
        <f>IF(I28="-","-",ROUND(I28*'Калькуляция (тр.режим)'!$H$16,0))</f>
        <v>-</v>
      </c>
      <c r="K28" s="16" t="str">
        <f>IF(I28="-","-",ROUND((I28+J28)*'Калькуляция (тр.режим)'!$H$17,0))</f>
        <v>-</v>
      </c>
      <c r="L28" s="16" t="str">
        <f>IF(I28="-","-",ROUND((I28+J28)*'Калькуляция (тр.режим)'!$H$18,0))</f>
        <v>-</v>
      </c>
      <c r="M28" s="16" t="str">
        <f>амортизация!J28</f>
        <v>-</v>
      </c>
      <c r="N28" s="16" t="str">
        <f>IF(I28="-","-",ROUND((I28*'Калькуляция (тр.режим)'!$H$19),0))</f>
        <v>-</v>
      </c>
      <c r="O28" s="16" t="str">
        <f>IF(I28="-","-",ROUND((I28*'Калькуляция (тр.режим)'!$H$20),0))</f>
        <v>-</v>
      </c>
      <c r="P28" s="16" t="str">
        <f t="shared" si="1"/>
        <v>-</v>
      </c>
      <c r="Q28" s="8"/>
      <c r="R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0.5">
      <c r="B29" s="7"/>
      <c r="C29" s="14">
        <f t="shared" si="0"/>
        <v>20</v>
      </c>
      <c r="D29" s="70" t="str">
        <f>IF('Себестоимость(тр.режим)'!D29=0,"-",'Себестоимость(тр.режим)'!D29)</f>
        <v>-</v>
      </c>
      <c r="E29" s="70" t="str">
        <f>IF('Себестоимость(тр.режим)'!E29=0,"-",'Себестоимость(тр.режим)'!E29)</f>
        <v>-</v>
      </c>
      <c r="F29" s="70" t="str">
        <f>IF('Себестоимость(тр.режим)'!F29=0,"-",'Себестоимость(тр.режим)'!F29)</f>
        <v>-</v>
      </c>
      <c r="G29" s="50" t="str">
        <f>ГСМ!Q30</f>
        <v>-</v>
      </c>
      <c r="H29" s="50" t="str">
        <f>СМ!Q30</f>
        <v>-</v>
      </c>
      <c r="I29" s="50" t="str">
        <f>IF(ЗП!AA33=0,"-",ЗП!AA33)</f>
        <v>-</v>
      </c>
      <c r="J29" s="50" t="str">
        <f>IF(I29="-","-",ROUND(I29*'Калькуляция (тр.режим)'!$H$16,0))</f>
        <v>-</v>
      </c>
      <c r="K29" s="16" t="str">
        <f>IF(I29="-","-",ROUND((I29+J29)*'Калькуляция (тр.режим)'!$H$17,0))</f>
        <v>-</v>
      </c>
      <c r="L29" s="16" t="str">
        <f>IF(I29="-","-",ROUND((I29+J29)*'Калькуляция (тр.режим)'!$H$18,0))</f>
        <v>-</v>
      </c>
      <c r="M29" s="16" t="str">
        <f>амортизация!J29</f>
        <v>-</v>
      </c>
      <c r="N29" s="16" t="str">
        <f>IF(I29="-","-",ROUND((I29*'Калькуляция (тр.режим)'!$H$19),0))</f>
        <v>-</v>
      </c>
      <c r="O29" s="16" t="str">
        <f>IF(I29="-","-",ROUND((I29*'Калькуляция (тр.режим)'!$H$20),0))</f>
        <v>-</v>
      </c>
      <c r="P29" s="16" t="str">
        <f t="shared" si="1"/>
        <v>-</v>
      </c>
      <c r="Q29" s="8"/>
      <c r="R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:32" ht="10.5">
      <c r="B30" s="7"/>
      <c r="C30" s="14">
        <f t="shared" si="0"/>
        <v>21</v>
      </c>
      <c r="D30" s="70" t="str">
        <f>IF('Себестоимость(тр.режим)'!D30=0,"-",'Себестоимость(тр.режим)'!D30)</f>
        <v>-</v>
      </c>
      <c r="E30" s="70" t="str">
        <f>IF('Себестоимость(тр.режим)'!E30=0,"-",'Себестоимость(тр.режим)'!E30)</f>
        <v>-</v>
      </c>
      <c r="F30" s="70" t="str">
        <f>IF('Себестоимость(тр.режим)'!F30=0,"-",'Себестоимость(тр.режим)'!F30)</f>
        <v>-</v>
      </c>
      <c r="G30" s="50" t="str">
        <f>ГСМ!Q31</f>
        <v>-</v>
      </c>
      <c r="H30" s="50" t="str">
        <f>СМ!Q31</f>
        <v>-</v>
      </c>
      <c r="I30" s="50" t="str">
        <f>IF(ЗП!AA34=0,"-",ЗП!AA34)</f>
        <v>-</v>
      </c>
      <c r="J30" s="50" t="str">
        <f>IF(I30="-","-",ROUND(I30*'Калькуляция (тр.режим)'!$H$16,0))</f>
        <v>-</v>
      </c>
      <c r="K30" s="16" t="str">
        <f>IF(I30="-","-",ROUND((I30+J30)*'Калькуляция (тр.режим)'!$H$17,0))</f>
        <v>-</v>
      </c>
      <c r="L30" s="16" t="str">
        <f>IF(I30="-","-",ROUND((I30+J30)*'Калькуляция (тр.режим)'!$H$18,0))</f>
        <v>-</v>
      </c>
      <c r="M30" s="16" t="str">
        <f>амортизация!J30</f>
        <v>-</v>
      </c>
      <c r="N30" s="16" t="str">
        <f>IF(I30="-","-",ROUND((I30*'Калькуляция (тр.режим)'!$H$19),0))</f>
        <v>-</v>
      </c>
      <c r="O30" s="16" t="str">
        <f>IF(I30="-","-",ROUND((I30*'Калькуляция (тр.режим)'!$H$20),0))</f>
        <v>-</v>
      </c>
      <c r="P30" s="16" t="str">
        <f t="shared" si="1"/>
        <v>-</v>
      </c>
      <c r="Q30" s="8"/>
      <c r="R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:32" ht="10.5">
      <c r="B31" s="7"/>
      <c r="C31" s="14"/>
      <c r="D31" s="17" t="s">
        <v>38</v>
      </c>
      <c r="E31" s="43" t="s">
        <v>37</v>
      </c>
      <c r="F31" s="43" t="s">
        <v>37</v>
      </c>
      <c r="G31" s="18">
        <f>ROUND(AVERAGE(G10:G30),0)</f>
        <v>18867</v>
      </c>
      <c r="H31" s="18">
        <f>ROUND(AVERAGE(H10:H30),0)</f>
        <v>1263</v>
      </c>
      <c r="I31" s="18">
        <f>ROUND(AVERAGE(I10:I30),0)</f>
        <v>7240</v>
      </c>
      <c r="J31" s="18">
        <f aca="true" t="shared" si="2" ref="J31:P31">ROUND(AVERAGE(J10:J30),0)</f>
        <v>1086</v>
      </c>
      <c r="K31" s="18">
        <f t="shared" si="2"/>
        <v>2831</v>
      </c>
      <c r="L31" s="18">
        <f t="shared" si="2"/>
        <v>50</v>
      </c>
      <c r="M31" s="18">
        <f t="shared" si="2"/>
        <v>4982</v>
      </c>
      <c r="N31" s="18">
        <f t="shared" si="2"/>
        <v>3724</v>
      </c>
      <c r="O31" s="18">
        <f t="shared" si="2"/>
        <v>2952</v>
      </c>
      <c r="P31" s="18">
        <f t="shared" si="2"/>
        <v>42995</v>
      </c>
      <c r="Q31" s="8"/>
      <c r="R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2:32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8"/>
      <c r="R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2:57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21:57" ht="10.5"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21:57" ht="10.5">
      <c r="U35" s="24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3:57" ht="10.5">
      <c r="C36" s="31"/>
      <c r="D36" s="31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3:57" ht="10.5">
      <c r="C37" s="31"/>
      <c r="D37" s="31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3:57" ht="10.5">
      <c r="C38" s="31"/>
      <c r="D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3:57" ht="10.5">
      <c r="C39" s="31"/>
      <c r="D39" s="31"/>
      <c r="S39" s="23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3:57" ht="10.5">
      <c r="C40" s="31"/>
      <c r="D40" s="31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3:57" ht="10.5">
      <c r="C41" s="31"/>
      <c r="D41" s="3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0"/>
      <c r="AR41" s="30"/>
      <c r="AS41" s="30"/>
      <c r="AT41" s="30"/>
      <c r="AU41" s="30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3:57" ht="10.5">
      <c r="C42" s="31"/>
      <c r="D42" s="31"/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3:57" ht="10.5">
      <c r="C43" s="31"/>
      <c r="D43" s="31"/>
      <c r="U43" s="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3:57" ht="10.5">
      <c r="C44" s="31"/>
      <c r="D44" s="31"/>
      <c r="U44" s="28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3:57" ht="10.5">
      <c r="C45" s="31"/>
      <c r="D45" s="31"/>
      <c r="U45" s="28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3:57" ht="10.5">
      <c r="C46" s="31"/>
      <c r="D46" s="31"/>
      <c r="U46" s="2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3:57" ht="10.5">
      <c r="C47" s="31"/>
      <c r="D47" s="31"/>
      <c r="U47" s="28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3:4" ht="10.5">
      <c r="C48" s="31"/>
      <c r="D48" s="31"/>
    </row>
  </sheetData>
  <sheetProtection/>
  <mergeCells count="3">
    <mergeCell ref="C4:P4"/>
    <mergeCell ref="C5:P5"/>
    <mergeCell ref="C6:P6"/>
  </mergeCells>
  <hyperlinks>
    <hyperlink ref="S5" location="'Калькуляция (тр.режим)'!A1" display="Калькуляция стоимости 1 машино-часа (транспортный режим)"/>
    <hyperlink ref="S6" location="'Калькуляция(экскавация)'!A1" display="Калькуляция стоимости 1 машино-часа (транспортный режим)"/>
    <hyperlink ref="S7" location="'Калькуляция(погрузка)'!A1" display="Калькуляция стоимости 1 машино-часа (погрузка)"/>
    <hyperlink ref="S8" location="'Себестоимость(тр.режим)'!A1" display="Расчет производственной себестоимости 1 машино-часа (транспортный режим)"/>
    <hyperlink ref="S9" location="'Себестоимость(экскавация)'!A1" display="Расчет производственной себестоимости 1 машино-часа (экскавация)"/>
    <hyperlink ref="S10" location="'Себестоимость(погрузка)'!A1" display="Расчет производственной себестоимости 1 машино-часа (погрузка)"/>
    <hyperlink ref="S11" location="ГСМ!A1" display="Расчет затрат на топливо (ГСМ)"/>
    <hyperlink ref="S12" location="СМ!A1" display="Расчет затрат на смазочные материалы (СМ)"/>
    <hyperlink ref="S13" location="ЗП!A1" display="Расчет затрат на заработную плату водителей "/>
    <hyperlink ref="S14" location="амортизация!A1" display="Расчет амортизационных отчислений"/>
    <hyperlink ref="S15" location="'расчет % ОПР'!A1" display="Расчет процента общепроизводственных расходов"/>
    <hyperlink ref="S16" location="'расчет % ОХР'!A1" display="Расчет процента общехозяйственных расходов"/>
    <hyperlink ref="S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2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3" max="255" man="1"/>
  </rowBreaks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9.00390625" style="1" customWidth="1"/>
    <col min="6" max="7" width="10.421875" style="1" customWidth="1"/>
    <col min="8" max="8" width="7.421875" style="1" bestFit="1" customWidth="1"/>
    <col min="9" max="9" width="8.8515625" style="1" customWidth="1"/>
    <col min="10" max="12" width="8.28125" style="1" customWidth="1"/>
    <col min="13" max="13" width="5.421875" style="1" customWidth="1"/>
    <col min="14" max="14" width="5.28125" style="1" customWidth="1"/>
    <col min="15" max="15" width="10.140625" style="1" customWidth="1"/>
    <col min="16" max="17" width="8.28125" style="1" customWidth="1"/>
    <col min="18" max="18" width="2.140625" style="1" customWidth="1"/>
    <col min="19" max="19" width="1.57421875" style="1" customWidth="1"/>
    <col min="20" max="20" width="53.57421875" style="1" customWidth="1"/>
    <col min="21" max="16384" width="9.140625" style="1" customWidth="1"/>
  </cols>
  <sheetData>
    <row r="1" spans="1:2" ht="11.25" thickBot="1">
      <c r="A1" s="1"/>
      <c r="B1" s="2" t="s">
        <v>0</v>
      </c>
    </row>
    <row r="2" spans="2:18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8"/>
    </row>
    <row r="4" spans="2:18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"/>
    </row>
    <row r="5" spans="2:20" ht="15">
      <c r="B5" s="7"/>
      <c r="C5" s="81" t="s">
        <v>137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"/>
      <c r="T5" s="68" t="s">
        <v>175</v>
      </c>
    </row>
    <row r="6" spans="2:20" ht="15">
      <c r="B6" s="7"/>
      <c r="C6" s="101" t="str">
        <f>'Калькуляция (тр.режим)'!C10:J10</f>
        <v>Экскаваторы колесные одноковшовые с ковшом вместимостью до 0,10 куб.м   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8"/>
      <c r="T6" s="68" t="s">
        <v>176</v>
      </c>
    </row>
    <row r="7" spans="2:20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  <c r="T7" s="68" t="s">
        <v>177</v>
      </c>
    </row>
    <row r="8" spans="2:20" ht="18" customHeight="1">
      <c r="B8" s="7"/>
      <c r="C8" s="103" t="s">
        <v>1</v>
      </c>
      <c r="D8" s="103" t="s">
        <v>31</v>
      </c>
      <c r="E8" s="103" t="s">
        <v>32</v>
      </c>
      <c r="F8" s="103" t="s">
        <v>34</v>
      </c>
      <c r="G8" s="103" t="s">
        <v>141</v>
      </c>
      <c r="H8" s="103" t="s">
        <v>136</v>
      </c>
      <c r="I8" s="102" t="s">
        <v>144</v>
      </c>
      <c r="J8" s="102"/>
      <c r="K8" s="102"/>
      <c r="L8" s="102"/>
      <c r="M8" s="106" t="s">
        <v>113</v>
      </c>
      <c r="N8" s="107"/>
      <c r="O8" s="102" t="s">
        <v>129</v>
      </c>
      <c r="P8" s="102"/>
      <c r="Q8" s="102"/>
      <c r="R8" s="8"/>
      <c r="T8" s="68" t="s">
        <v>178</v>
      </c>
    </row>
    <row r="9" spans="2:20" ht="10.5" customHeight="1">
      <c r="B9" s="7"/>
      <c r="C9" s="105"/>
      <c r="D9" s="105"/>
      <c r="E9" s="105"/>
      <c r="F9" s="105"/>
      <c r="G9" s="105"/>
      <c r="H9" s="104"/>
      <c r="I9" s="102" t="s">
        <v>143</v>
      </c>
      <c r="J9" s="102"/>
      <c r="K9" s="103" t="s">
        <v>145</v>
      </c>
      <c r="L9" s="103" t="s">
        <v>146</v>
      </c>
      <c r="M9" s="103" t="s">
        <v>114</v>
      </c>
      <c r="N9" s="103" t="s">
        <v>115</v>
      </c>
      <c r="O9" s="103" t="s">
        <v>147</v>
      </c>
      <c r="P9" s="103" t="s">
        <v>148</v>
      </c>
      <c r="Q9" s="103" t="s">
        <v>149</v>
      </c>
      <c r="R9" s="8"/>
      <c r="T9" s="68" t="s">
        <v>179</v>
      </c>
    </row>
    <row r="10" spans="2:20" ht="31.5" customHeight="1">
      <c r="B10" s="7"/>
      <c r="C10" s="104"/>
      <c r="D10" s="104"/>
      <c r="E10" s="104"/>
      <c r="F10" s="104"/>
      <c r="G10" s="104"/>
      <c r="H10" s="76">
        <v>0.05</v>
      </c>
      <c r="I10" s="41" t="s">
        <v>161</v>
      </c>
      <c r="J10" s="41" t="s">
        <v>142</v>
      </c>
      <c r="K10" s="104"/>
      <c r="L10" s="104"/>
      <c r="M10" s="104"/>
      <c r="N10" s="104"/>
      <c r="O10" s="104"/>
      <c r="P10" s="104"/>
      <c r="Q10" s="104"/>
      <c r="R10" s="8"/>
      <c r="T10" s="68" t="s">
        <v>180</v>
      </c>
    </row>
    <row r="11" spans="2:20" ht="31.5">
      <c r="B11" s="7"/>
      <c r="C11" s="14">
        <v>1</v>
      </c>
      <c r="D11" s="75" t="str">
        <f>'Себестоимость(тр.режим)'!D10</f>
        <v>Бульдозер-экскаватор ДЗ-133 ЭЦ-40 (шасси МТЗ-82.1, дв. Д-243)</v>
      </c>
      <c r="E11" s="14" t="str">
        <f>'Себестоимость(тр.режим)'!E10</f>
        <v>6765 АА-5</v>
      </c>
      <c r="F11" s="14" t="str">
        <f>'Себестоимость(тр.режим)'!F10</f>
        <v>Трансп. цех</v>
      </c>
      <c r="G11" s="14" t="s">
        <v>150</v>
      </c>
      <c r="H11" s="14" t="s">
        <v>152</v>
      </c>
      <c r="I11" s="65">
        <v>5.5</v>
      </c>
      <c r="J11" s="66">
        <f aca="true" t="shared" si="0" ref="J11:J31">IF(D11="-","-",IF(H11="Да",ROUND(I11*$H$10,1),0))</f>
        <v>0.3</v>
      </c>
      <c r="K11" s="65">
        <v>6.6</v>
      </c>
      <c r="L11" s="65">
        <v>4.6</v>
      </c>
      <c r="M11" s="15">
        <v>2850</v>
      </c>
      <c r="N11" s="15">
        <v>2850</v>
      </c>
      <c r="O11" s="66">
        <f>IF(G11="ДТ",ROUND((I11*N11+J11*M11),0),IF(G11="Н-80",ROUND(I11*M11,0),"-"))</f>
        <v>16530</v>
      </c>
      <c r="P11" s="66">
        <f>IF(G11="ДТ",ROUND(K11*N11,0),IF(G11="Н-80",ROUND(K11*M11,0),"-"))</f>
        <v>18810</v>
      </c>
      <c r="Q11" s="66">
        <f>IF(G11="ДТ",ROUND(L11*N11,0),IF(G11="Н-80",ROUND(L11*M11,0),"-"))</f>
        <v>13110</v>
      </c>
      <c r="R11" s="8"/>
      <c r="T11" s="68" t="s">
        <v>181</v>
      </c>
    </row>
    <row r="12" spans="2:20" ht="31.5">
      <c r="B12" s="7"/>
      <c r="C12" s="14">
        <f>C11+1</f>
        <v>2</v>
      </c>
      <c r="D12" s="75" t="str">
        <f>IF('Себестоимость(тр.режим)'!D11=0,"-",'Себестоимость(тр.режим)'!D11)</f>
        <v>Погрузчик-экскаватор Caterpillar CAT-428Е (дв. CAT-3054C DIT, 72,8 kW)</v>
      </c>
      <c r="E12" s="14" t="str">
        <f>IF('Себестоимость(тр.режим)'!E11=0,"-",'Себестоимость(тр.режим)'!E11)</f>
        <v>5642 ВВ-5</v>
      </c>
      <c r="F12" s="14" t="str">
        <f>IF('Себестоимость(тр.режим)'!F11=0,"-",'Себестоимость(тр.режим)'!F11)</f>
        <v>Трансп. цех</v>
      </c>
      <c r="G12" s="14" t="s">
        <v>150</v>
      </c>
      <c r="H12" s="14" t="s">
        <v>153</v>
      </c>
      <c r="I12" s="65">
        <v>10.7</v>
      </c>
      <c r="J12" s="66">
        <f t="shared" si="0"/>
        <v>0</v>
      </c>
      <c r="K12" s="65">
        <v>8.6</v>
      </c>
      <c r="L12" s="65">
        <v>10.5</v>
      </c>
      <c r="M12" s="50">
        <f aca="true" t="shared" si="1" ref="M12:M31">IF(D12="-","-",M11)</f>
        <v>2850</v>
      </c>
      <c r="N12" s="50">
        <f>IF(D12="-","-",N11)</f>
        <v>2850</v>
      </c>
      <c r="O12" s="66">
        <f aca="true" t="shared" si="2" ref="O12:O31">IF(G12="ДТ",ROUND((I12*N12+J12*M12),0),IF(G12="Н-80",ROUND(I12*M12,0),"-"))</f>
        <v>30495</v>
      </c>
      <c r="P12" s="66">
        <f aca="true" t="shared" si="3" ref="P12:P31">IF(G12="ДТ",ROUND(K12*N12,0),IF(G12="Н-80",ROUND(K12*M12,0),"-"))</f>
        <v>24510</v>
      </c>
      <c r="Q12" s="66">
        <f aca="true" t="shared" si="4" ref="Q12:Q31">IF(G12="ДТ",ROUND(L12*N12,0),IF(G12="Н-80",ROUND(L12*M12,0),"-"))</f>
        <v>29925</v>
      </c>
      <c r="R12" s="8"/>
      <c r="T12" s="68" t="s">
        <v>183</v>
      </c>
    </row>
    <row r="13" spans="2:20" ht="21">
      <c r="B13" s="7"/>
      <c r="C13" s="14">
        <f aca="true" t="shared" si="5" ref="C13:C31">C12+1</f>
        <v>3</v>
      </c>
      <c r="D13" s="75" t="str">
        <f>IF('Себестоимость(тр.режим)'!D12=0,"-",'Себестоимость(тр.режим)'!D12)</f>
        <v>Погрузчик ТО-49 (шасси МТЗ-82, дв. Д-240) </v>
      </c>
      <c r="E13" s="14" t="str">
        <f>IF('Себестоимость(тр.режим)'!E12=0,"-",'Себестоимость(тр.режим)'!E12)</f>
        <v>4455 EA-5</v>
      </c>
      <c r="F13" s="14" t="str">
        <f>IF('Себестоимость(тр.режим)'!F12=0,"-",'Себестоимость(тр.режим)'!F12)</f>
        <v>Трансп. цех</v>
      </c>
      <c r="G13" s="14" t="s">
        <v>150</v>
      </c>
      <c r="H13" s="14" t="s">
        <v>153</v>
      </c>
      <c r="I13" s="65">
        <v>5.3</v>
      </c>
      <c r="J13" s="66">
        <f t="shared" si="0"/>
        <v>0</v>
      </c>
      <c r="K13" s="65">
        <v>4.4</v>
      </c>
      <c r="L13" s="65">
        <v>5.3</v>
      </c>
      <c r="M13" s="50">
        <f t="shared" si="1"/>
        <v>2850</v>
      </c>
      <c r="N13" s="50">
        <f aca="true" t="shared" si="6" ref="N13:N31">IF(D13="-","-",N12)</f>
        <v>2850</v>
      </c>
      <c r="O13" s="66">
        <f t="shared" si="2"/>
        <v>15105</v>
      </c>
      <c r="P13" s="66">
        <f t="shared" si="3"/>
        <v>12540</v>
      </c>
      <c r="Q13" s="66">
        <f t="shared" si="4"/>
        <v>15105</v>
      </c>
      <c r="R13" s="8"/>
      <c r="T13" s="68" t="s">
        <v>184</v>
      </c>
    </row>
    <row r="14" spans="2:20" ht="31.5">
      <c r="B14" s="7"/>
      <c r="C14" s="14">
        <f t="shared" si="5"/>
        <v>4</v>
      </c>
      <c r="D14" s="75" t="str">
        <f>IF('Себестоимость(тр.режим)'!D13=0,"-",'Себестоимость(тр.режим)'!D13)</f>
        <v>Погрузчик-экскаватор JCB 3CX SITEMASTER GP (дв. JCB444T, JCB444T1, 68 kW)</v>
      </c>
      <c r="E14" s="14" t="str">
        <f>IF('Себестоимость(тр.режим)'!E13=0,"-",'Себестоимость(тр.режим)'!E13)</f>
        <v>4785 AX-5</v>
      </c>
      <c r="F14" s="14" t="str">
        <f>IF('Себестоимость(тр.режим)'!F13=0,"-",'Себестоимость(тр.режим)'!F13)</f>
        <v>Трансп. цех</v>
      </c>
      <c r="G14" s="14" t="s">
        <v>150</v>
      </c>
      <c r="H14" s="14" t="s">
        <v>153</v>
      </c>
      <c r="I14" s="65">
        <v>10</v>
      </c>
      <c r="J14" s="66">
        <f t="shared" si="0"/>
        <v>0</v>
      </c>
      <c r="K14" s="65">
        <v>6</v>
      </c>
      <c r="L14" s="65">
        <v>8.1</v>
      </c>
      <c r="M14" s="50">
        <f t="shared" si="1"/>
        <v>2850</v>
      </c>
      <c r="N14" s="50">
        <f t="shared" si="6"/>
        <v>2850</v>
      </c>
      <c r="O14" s="66">
        <f t="shared" si="2"/>
        <v>28500</v>
      </c>
      <c r="P14" s="66">
        <f t="shared" si="3"/>
        <v>17100</v>
      </c>
      <c r="Q14" s="66">
        <f t="shared" si="4"/>
        <v>23085</v>
      </c>
      <c r="R14" s="8"/>
      <c r="T14" s="68" t="s">
        <v>118</v>
      </c>
    </row>
    <row r="15" spans="2:20" ht="31.5">
      <c r="B15" s="7"/>
      <c r="C15" s="14">
        <f t="shared" si="5"/>
        <v>5</v>
      </c>
      <c r="D15" s="75" t="str">
        <f>IF('Себестоимость(тр.режим)'!D14=0,"-",'Себестоимость(тр.режим)'!D14)</f>
        <v>Погрузчик-экскаватор ПЭ-82 (шасси МТЗ-82П, дв. Д-243, Д-243-486)</v>
      </c>
      <c r="E15" s="14" t="str">
        <f>IF('Себестоимость(тр.режим)'!E14=0,"-",'Себестоимость(тр.режим)'!E14)</f>
        <v>2210 KK-5</v>
      </c>
      <c r="F15" s="14" t="str">
        <f>IF('Себестоимость(тр.режим)'!F14=0,"-",'Себестоимость(тр.режим)'!F14)</f>
        <v>Трансп. цех</v>
      </c>
      <c r="G15" s="14" t="s">
        <v>151</v>
      </c>
      <c r="H15" s="14" t="s">
        <v>153</v>
      </c>
      <c r="I15" s="65">
        <v>5.5</v>
      </c>
      <c r="J15" s="66">
        <f t="shared" si="0"/>
        <v>0</v>
      </c>
      <c r="K15" s="65">
        <v>4.2</v>
      </c>
      <c r="L15" s="65">
        <v>4.6</v>
      </c>
      <c r="M15" s="50">
        <f t="shared" si="1"/>
        <v>2850</v>
      </c>
      <c r="N15" s="50">
        <f t="shared" si="6"/>
        <v>2850</v>
      </c>
      <c r="O15" s="66">
        <f t="shared" si="2"/>
        <v>15675</v>
      </c>
      <c r="P15" s="66">
        <f t="shared" si="3"/>
        <v>11970</v>
      </c>
      <c r="Q15" s="66">
        <f t="shared" si="4"/>
        <v>13110</v>
      </c>
      <c r="R15" s="8"/>
      <c r="T15" s="68" t="s">
        <v>92</v>
      </c>
    </row>
    <row r="16" spans="2:20" ht="15">
      <c r="B16" s="7"/>
      <c r="C16" s="14">
        <f t="shared" si="5"/>
        <v>6</v>
      </c>
      <c r="D16" s="75" t="str">
        <f>IF('Себестоимость(тр.режим)'!D15=0,"-",'Себестоимость(тр.режим)'!D15)</f>
        <v>-</v>
      </c>
      <c r="E16" s="14" t="str">
        <f>IF('Себестоимость(тр.режим)'!E15=0,"-",'Себестоимость(тр.режим)'!E15)</f>
        <v>-</v>
      </c>
      <c r="F16" s="14" t="str">
        <f>IF('Себестоимость(тр.режим)'!F15=0,"-",'Себестоимость(тр.режим)'!F15)</f>
        <v>-</v>
      </c>
      <c r="G16" s="14"/>
      <c r="H16" s="14"/>
      <c r="I16" s="65"/>
      <c r="J16" s="66" t="str">
        <f t="shared" si="0"/>
        <v>-</v>
      </c>
      <c r="K16" s="65"/>
      <c r="L16" s="65"/>
      <c r="M16" s="50" t="str">
        <f t="shared" si="1"/>
        <v>-</v>
      </c>
      <c r="N16" s="50" t="str">
        <f t="shared" si="6"/>
        <v>-</v>
      </c>
      <c r="O16" s="66" t="str">
        <f t="shared" si="2"/>
        <v>-</v>
      </c>
      <c r="P16" s="66" t="str">
        <f t="shared" si="3"/>
        <v>-</v>
      </c>
      <c r="Q16" s="66" t="str">
        <f t="shared" si="4"/>
        <v>-</v>
      </c>
      <c r="R16" s="8"/>
      <c r="T16" s="68" t="s">
        <v>108</v>
      </c>
    </row>
    <row r="17" spans="2:20" ht="15">
      <c r="B17" s="7"/>
      <c r="C17" s="14">
        <f t="shared" si="5"/>
        <v>7</v>
      </c>
      <c r="D17" s="75" t="str">
        <f>IF('Себестоимость(тр.режим)'!D16=0,"-",'Себестоимость(тр.режим)'!D16)</f>
        <v>-</v>
      </c>
      <c r="E17" s="14" t="str">
        <f>IF('Себестоимость(тр.режим)'!E16=0,"-",'Себестоимость(тр.режим)'!E16)</f>
        <v>-</v>
      </c>
      <c r="F17" s="14" t="str">
        <f>IF('Себестоимость(тр.режим)'!F16=0,"-",'Себестоимость(тр.режим)'!F16)</f>
        <v>-</v>
      </c>
      <c r="G17" s="14"/>
      <c r="H17" s="14"/>
      <c r="I17" s="65"/>
      <c r="J17" s="66" t="str">
        <f t="shared" si="0"/>
        <v>-</v>
      </c>
      <c r="K17" s="65"/>
      <c r="L17" s="65"/>
      <c r="M17" s="50" t="str">
        <f t="shared" si="1"/>
        <v>-</v>
      </c>
      <c r="N17" s="50" t="str">
        <f t="shared" si="6"/>
        <v>-</v>
      </c>
      <c r="O17" s="66" t="str">
        <f t="shared" si="2"/>
        <v>-</v>
      </c>
      <c r="P17" s="66" t="str">
        <f t="shared" si="3"/>
        <v>-</v>
      </c>
      <c r="Q17" s="66" t="str">
        <f t="shared" si="4"/>
        <v>-</v>
      </c>
      <c r="R17" s="8"/>
      <c r="T17" s="68" t="s">
        <v>117</v>
      </c>
    </row>
    <row r="18" spans="2:18" ht="10.5">
      <c r="B18" s="7"/>
      <c r="C18" s="14">
        <f t="shared" si="5"/>
        <v>8</v>
      </c>
      <c r="D18" s="75" t="str">
        <f>IF('Себестоимость(тр.режим)'!D17=0,"-",'Себестоимость(тр.режим)'!D17)</f>
        <v>-</v>
      </c>
      <c r="E18" s="14" t="str">
        <f>IF('Себестоимость(тр.режим)'!E17=0,"-",'Себестоимость(тр.режим)'!E17)</f>
        <v>-</v>
      </c>
      <c r="F18" s="14" t="str">
        <f>IF('Себестоимость(тр.режим)'!F17=0,"-",'Себестоимость(тр.режим)'!F17)</f>
        <v>-</v>
      </c>
      <c r="G18" s="14"/>
      <c r="H18" s="14"/>
      <c r="I18" s="65"/>
      <c r="J18" s="66" t="str">
        <f t="shared" si="0"/>
        <v>-</v>
      </c>
      <c r="K18" s="65"/>
      <c r="L18" s="65"/>
      <c r="M18" s="50" t="str">
        <f t="shared" si="1"/>
        <v>-</v>
      </c>
      <c r="N18" s="50" t="str">
        <f t="shared" si="6"/>
        <v>-</v>
      </c>
      <c r="O18" s="66" t="str">
        <f t="shared" si="2"/>
        <v>-</v>
      </c>
      <c r="P18" s="66" t="str">
        <f t="shared" si="3"/>
        <v>-</v>
      </c>
      <c r="Q18" s="66" t="str">
        <f t="shared" si="4"/>
        <v>-</v>
      </c>
      <c r="R18" s="8"/>
    </row>
    <row r="19" spans="2:18" ht="10.5">
      <c r="B19" s="7"/>
      <c r="C19" s="14">
        <f t="shared" si="5"/>
        <v>9</v>
      </c>
      <c r="D19" s="75" t="str">
        <f>IF('Себестоимость(тр.режим)'!D18=0,"-",'Себестоимость(тр.режим)'!D18)</f>
        <v>-</v>
      </c>
      <c r="E19" s="14" t="str">
        <f>IF('Себестоимость(тр.режим)'!E18=0,"-",'Себестоимость(тр.режим)'!E18)</f>
        <v>-</v>
      </c>
      <c r="F19" s="14" t="str">
        <f>IF('Себестоимость(тр.режим)'!F18=0,"-",'Себестоимость(тр.режим)'!F18)</f>
        <v>-</v>
      </c>
      <c r="G19" s="14"/>
      <c r="H19" s="14"/>
      <c r="I19" s="65"/>
      <c r="J19" s="66" t="str">
        <f t="shared" si="0"/>
        <v>-</v>
      </c>
      <c r="K19" s="65"/>
      <c r="L19" s="65"/>
      <c r="M19" s="50" t="str">
        <f t="shared" si="1"/>
        <v>-</v>
      </c>
      <c r="N19" s="50" t="str">
        <f t="shared" si="6"/>
        <v>-</v>
      </c>
      <c r="O19" s="66" t="str">
        <f t="shared" si="2"/>
        <v>-</v>
      </c>
      <c r="P19" s="66" t="str">
        <f t="shared" si="3"/>
        <v>-</v>
      </c>
      <c r="Q19" s="66" t="str">
        <f t="shared" si="4"/>
        <v>-</v>
      </c>
      <c r="R19" s="8"/>
    </row>
    <row r="20" spans="2:18" ht="10.5">
      <c r="B20" s="7"/>
      <c r="C20" s="14">
        <f t="shared" si="5"/>
        <v>10</v>
      </c>
      <c r="D20" s="75" t="str">
        <f>IF('Себестоимость(тр.режим)'!D19=0,"-",'Себестоимость(тр.режим)'!D19)</f>
        <v>-</v>
      </c>
      <c r="E20" s="14" t="str">
        <f>IF('Себестоимость(тр.режим)'!E19=0,"-",'Себестоимость(тр.режим)'!E19)</f>
        <v>-</v>
      </c>
      <c r="F20" s="14" t="str">
        <f>IF('Себестоимость(тр.режим)'!F19=0,"-",'Себестоимость(тр.режим)'!F19)</f>
        <v>-</v>
      </c>
      <c r="G20" s="14"/>
      <c r="H20" s="14"/>
      <c r="I20" s="65"/>
      <c r="J20" s="66" t="str">
        <f t="shared" si="0"/>
        <v>-</v>
      </c>
      <c r="K20" s="65"/>
      <c r="L20" s="65"/>
      <c r="M20" s="50" t="str">
        <f t="shared" si="1"/>
        <v>-</v>
      </c>
      <c r="N20" s="50" t="str">
        <f t="shared" si="6"/>
        <v>-</v>
      </c>
      <c r="O20" s="66" t="str">
        <f t="shared" si="2"/>
        <v>-</v>
      </c>
      <c r="P20" s="66" t="str">
        <f t="shared" si="3"/>
        <v>-</v>
      </c>
      <c r="Q20" s="66" t="str">
        <f t="shared" si="4"/>
        <v>-</v>
      </c>
      <c r="R20" s="8"/>
    </row>
    <row r="21" spans="2:18" ht="10.5">
      <c r="B21" s="7"/>
      <c r="C21" s="14">
        <f t="shared" si="5"/>
        <v>11</v>
      </c>
      <c r="D21" s="75" t="str">
        <f>IF('Себестоимость(тр.режим)'!D20=0,"-",'Себестоимость(тр.режим)'!D20)</f>
        <v>-</v>
      </c>
      <c r="E21" s="14" t="str">
        <f>IF('Себестоимость(тр.режим)'!E20=0,"-",'Себестоимость(тр.режим)'!E20)</f>
        <v>-</v>
      </c>
      <c r="F21" s="14" t="str">
        <f>IF('Себестоимость(тр.режим)'!F20=0,"-",'Себестоимость(тр.режим)'!F20)</f>
        <v>-</v>
      </c>
      <c r="G21" s="14"/>
      <c r="H21" s="14"/>
      <c r="I21" s="65"/>
      <c r="J21" s="66" t="str">
        <f t="shared" si="0"/>
        <v>-</v>
      </c>
      <c r="K21" s="65"/>
      <c r="L21" s="65"/>
      <c r="M21" s="50" t="str">
        <f t="shared" si="1"/>
        <v>-</v>
      </c>
      <c r="N21" s="50" t="str">
        <f t="shared" si="6"/>
        <v>-</v>
      </c>
      <c r="O21" s="66" t="str">
        <f t="shared" si="2"/>
        <v>-</v>
      </c>
      <c r="P21" s="66" t="str">
        <f t="shared" si="3"/>
        <v>-</v>
      </c>
      <c r="Q21" s="66" t="str">
        <f t="shared" si="4"/>
        <v>-</v>
      </c>
      <c r="R21" s="8"/>
    </row>
    <row r="22" spans="2:18" ht="10.5">
      <c r="B22" s="7"/>
      <c r="C22" s="14">
        <f t="shared" si="5"/>
        <v>12</v>
      </c>
      <c r="D22" s="75" t="str">
        <f>IF('Себестоимость(тр.режим)'!D21=0,"-",'Себестоимость(тр.режим)'!D21)</f>
        <v>-</v>
      </c>
      <c r="E22" s="14" t="str">
        <f>IF('Себестоимость(тр.режим)'!E21=0,"-",'Себестоимость(тр.режим)'!E21)</f>
        <v>-</v>
      </c>
      <c r="F22" s="14" t="str">
        <f>IF('Себестоимость(тр.режим)'!F21=0,"-",'Себестоимость(тр.режим)'!F21)</f>
        <v>-</v>
      </c>
      <c r="G22" s="14"/>
      <c r="H22" s="14"/>
      <c r="I22" s="65"/>
      <c r="J22" s="66" t="str">
        <f t="shared" si="0"/>
        <v>-</v>
      </c>
      <c r="K22" s="65"/>
      <c r="L22" s="65"/>
      <c r="M22" s="50" t="str">
        <f t="shared" si="1"/>
        <v>-</v>
      </c>
      <c r="N22" s="50" t="str">
        <f t="shared" si="6"/>
        <v>-</v>
      </c>
      <c r="O22" s="66" t="str">
        <f t="shared" si="2"/>
        <v>-</v>
      </c>
      <c r="P22" s="66" t="str">
        <f t="shared" si="3"/>
        <v>-</v>
      </c>
      <c r="Q22" s="66" t="str">
        <f t="shared" si="4"/>
        <v>-</v>
      </c>
      <c r="R22" s="8"/>
    </row>
    <row r="23" spans="2:18" ht="10.5">
      <c r="B23" s="7"/>
      <c r="C23" s="14">
        <f t="shared" si="5"/>
        <v>13</v>
      </c>
      <c r="D23" s="75" t="str">
        <f>IF('Себестоимость(тр.режим)'!D22=0,"-",'Себестоимость(тр.режим)'!D22)</f>
        <v>-</v>
      </c>
      <c r="E23" s="14" t="str">
        <f>IF('Себестоимость(тр.режим)'!E22=0,"-",'Себестоимость(тр.режим)'!E22)</f>
        <v>-</v>
      </c>
      <c r="F23" s="14" t="str">
        <f>IF('Себестоимость(тр.режим)'!F22=0,"-",'Себестоимость(тр.режим)'!F22)</f>
        <v>-</v>
      </c>
      <c r="G23" s="14"/>
      <c r="H23" s="14"/>
      <c r="I23" s="65"/>
      <c r="J23" s="66" t="str">
        <f t="shared" si="0"/>
        <v>-</v>
      </c>
      <c r="K23" s="65"/>
      <c r="L23" s="65"/>
      <c r="M23" s="50" t="str">
        <f t="shared" si="1"/>
        <v>-</v>
      </c>
      <c r="N23" s="50" t="str">
        <f t="shared" si="6"/>
        <v>-</v>
      </c>
      <c r="O23" s="66" t="str">
        <f t="shared" si="2"/>
        <v>-</v>
      </c>
      <c r="P23" s="66" t="str">
        <f t="shared" si="3"/>
        <v>-</v>
      </c>
      <c r="Q23" s="66" t="str">
        <f t="shared" si="4"/>
        <v>-</v>
      </c>
      <c r="R23" s="8"/>
    </row>
    <row r="24" spans="2:18" ht="10.5">
      <c r="B24" s="7"/>
      <c r="C24" s="14">
        <f t="shared" si="5"/>
        <v>14</v>
      </c>
      <c r="D24" s="75" t="str">
        <f>IF('Себестоимость(тр.режим)'!D23=0,"-",'Себестоимость(тр.режим)'!D23)</f>
        <v>-</v>
      </c>
      <c r="E24" s="14" t="str">
        <f>IF('Себестоимость(тр.режим)'!E23=0,"-",'Себестоимость(тр.режим)'!E23)</f>
        <v>-</v>
      </c>
      <c r="F24" s="14" t="str">
        <f>IF('Себестоимость(тр.режим)'!F23=0,"-",'Себестоимость(тр.режим)'!F23)</f>
        <v>-</v>
      </c>
      <c r="G24" s="14"/>
      <c r="H24" s="14"/>
      <c r="I24" s="65"/>
      <c r="J24" s="66" t="str">
        <f t="shared" si="0"/>
        <v>-</v>
      </c>
      <c r="K24" s="65"/>
      <c r="L24" s="65"/>
      <c r="M24" s="50" t="str">
        <f t="shared" si="1"/>
        <v>-</v>
      </c>
      <c r="N24" s="50" t="str">
        <f t="shared" si="6"/>
        <v>-</v>
      </c>
      <c r="O24" s="66" t="str">
        <f t="shared" si="2"/>
        <v>-</v>
      </c>
      <c r="P24" s="66" t="str">
        <f t="shared" si="3"/>
        <v>-</v>
      </c>
      <c r="Q24" s="66" t="str">
        <f t="shared" si="4"/>
        <v>-</v>
      </c>
      <c r="R24" s="8"/>
    </row>
    <row r="25" spans="2:18" ht="10.5">
      <c r="B25" s="7"/>
      <c r="C25" s="14">
        <f t="shared" si="5"/>
        <v>15</v>
      </c>
      <c r="D25" s="75" t="str">
        <f>IF('Себестоимость(тр.режим)'!D24=0,"-",'Себестоимость(тр.режим)'!D24)</f>
        <v>-</v>
      </c>
      <c r="E25" s="14" t="str">
        <f>IF('Себестоимость(тр.режим)'!E24=0,"-",'Себестоимость(тр.режим)'!E24)</f>
        <v>-</v>
      </c>
      <c r="F25" s="14" t="str">
        <f>IF('Себестоимость(тр.режим)'!F24=0,"-",'Себестоимость(тр.режим)'!F24)</f>
        <v>-</v>
      </c>
      <c r="G25" s="14"/>
      <c r="H25" s="14"/>
      <c r="I25" s="65"/>
      <c r="J25" s="66" t="str">
        <f t="shared" si="0"/>
        <v>-</v>
      </c>
      <c r="K25" s="65"/>
      <c r="L25" s="65"/>
      <c r="M25" s="50" t="str">
        <f t="shared" si="1"/>
        <v>-</v>
      </c>
      <c r="N25" s="50" t="str">
        <f t="shared" si="6"/>
        <v>-</v>
      </c>
      <c r="O25" s="66" t="str">
        <f t="shared" si="2"/>
        <v>-</v>
      </c>
      <c r="P25" s="66" t="str">
        <f t="shared" si="3"/>
        <v>-</v>
      </c>
      <c r="Q25" s="66" t="str">
        <f t="shared" si="4"/>
        <v>-</v>
      </c>
      <c r="R25" s="8"/>
    </row>
    <row r="26" spans="2:18" ht="10.5">
      <c r="B26" s="7"/>
      <c r="C26" s="14">
        <f t="shared" si="5"/>
        <v>16</v>
      </c>
      <c r="D26" s="75" t="str">
        <f>IF('Себестоимость(тр.режим)'!D25=0,"-",'Себестоимость(тр.режим)'!D25)</f>
        <v>-</v>
      </c>
      <c r="E26" s="14" t="str">
        <f>IF('Себестоимость(тр.режим)'!E25=0,"-",'Себестоимость(тр.режим)'!E25)</f>
        <v>-</v>
      </c>
      <c r="F26" s="14" t="str">
        <f>IF('Себестоимость(тр.режим)'!F25=0,"-",'Себестоимость(тр.режим)'!F25)</f>
        <v>-</v>
      </c>
      <c r="G26" s="14"/>
      <c r="H26" s="14"/>
      <c r="I26" s="65"/>
      <c r="J26" s="66" t="str">
        <f t="shared" si="0"/>
        <v>-</v>
      </c>
      <c r="K26" s="65"/>
      <c r="L26" s="65"/>
      <c r="M26" s="50" t="str">
        <f t="shared" si="1"/>
        <v>-</v>
      </c>
      <c r="N26" s="50" t="str">
        <f t="shared" si="6"/>
        <v>-</v>
      </c>
      <c r="O26" s="66" t="str">
        <f t="shared" si="2"/>
        <v>-</v>
      </c>
      <c r="P26" s="66" t="str">
        <f t="shared" si="3"/>
        <v>-</v>
      </c>
      <c r="Q26" s="66" t="str">
        <f t="shared" si="4"/>
        <v>-</v>
      </c>
      <c r="R26" s="8"/>
    </row>
    <row r="27" spans="2:18" ht="10.5">
      <c r="B27" s="7"/>
      <c r="C27" s="14">
        <f t="shared" si="5"/>
        <v>17</v>
      </c>
      <c r="D27" s="75" t="str">
        <f>IF('Себестоимость(тр.режим)'!D26=0,"-",'Себестоимость(тр.режим)'!D26)</f>
        <v>-</v>
      </c>
      <c r="E27" s="14" t="str">
        <f>IF('Себестоимость(тр.режим)'!E26=0,"-",'Себестоимость(тр.режим)'!E26)</f>
        <v>-</v>
      </c>
      <c r="F27" s="14" t="str">
        <f>IF('Себестоимость(тр.режим)'!F26=0,"-",'Себестоимость(тр.режим)'!F26)</f>
        <v>-</v>
      </c>
      <c r="G27" s="14"/>
      <c r="H27" s="14"/>
      <c r="I27" s="65"/>
      <c r="J27" s="66" t="str">
        <f t="shared" si="0"/>
        <v>-</v>
      </c>
      <c r="K27" s="65"/>
      <c r="L27" s="65"/>
      <c r="M27" s="50" t="str">
        <f t="shared" si="1"/>
        <v>-</v>
      </c>
      <c r="N27" s="50" t="str">
        <f t="shared" si="6"/>
        <v>-</v>
      </c>
      <c r="O27" s="66" t="str">
        <f t="shared" si="2"/>
        <v>-</v>
      </c>
      <c r="P27" s="66" t="str">
        <f t="shared" si="3"/>
        <v>-</v>
      </c>
      <c r="Q27" s="66" t="str">
        <f t="shared" si="4"/>
        <v>-</v>
      </c>
      <c r="R27" s="8"/>
    </row>
    <row r="28" spans="2:18" ht="10.5">
      <c r="B28" s="7"/>
      <c r="C28" s="14">
        <f t="shared" si="5"/>
        <v>18</v>
      </c>
      <c r="D28" s="75" t="str">
        <f>IF('Себестоимость(тр.режим)'!D27=0,"-",'Себестоимость(тр.режим)'!D27)</f>
        <v>-</v>
      </c>
      <c r="E28" s="14" t="str">
        <f>IF('Себестоимость(тр.режим)'!E27=0,"-",'Себестоимость(тр.режим)'!E27)</f>
        <v>-</v>
      </c>
      <c r="F28" s="14" t="str">
        <f>IF('Себестоимость(тр.режим)'!F27=0,"-",'Себестоимость(тр.режим)'!F27)</f>
        <v>-</v>
      </c>
      <c r="G28" s="14"/>
      <c r="H28" s="14"/>
      <c r="I28" s="65"/>
      <c r="J28" s="66" t="str">
        <f t="shared" si="0"/>
        <v>-</v>
      </c>
      <c r="K28" s="65"/>
      <c r="L28" s="65"/>
      <c r="M28" s="50" t="str">
        <f t="shared" si="1"/>
        <v>-</v>
      </c>
      <c r="N28" s="50" t="str">
        <f t="shared" si="6"/>
        <v>-</v>
      </c>
      <c r="O28" s="66" t="str">
        <f t="shared" si="2"/>
        <v>-</v>
      </c>
      <c r="P28" s="66" t="str">
        <f t="shared" si="3"/>
        <v>-</v>
      </c>
      <c r="Q28" s="66" t="str">
        <f t="shared" si="4"/>
        <v>-</v>
      </c>
      <c r="R28" s="8"/>
    </row>
    <row r="29" spans="2:18" ht="10.5">
      <c r="B29" s="7"/>
      <c r="C29" s="14">
        <f t="shared" si="5"/>
        <v>19</v>
      </c>
      <c r="D29" s="75" t="str">
        <f>IF('Себестоимость(тр.режим)'!D28=0,"-",'Себестоимость(тр.режим)'!D28)</f>
        <v>-</v>
      </c>
      <c r="E29" s="14" t="str">
        <f>IF('Себестоимость(тр.режим)'!E28=0,"-",'Себестоимость(тр.режим)'!E28)</f>
        <v>-</v>
      </c>
      <c r="F29" s="14" t="str">
        <f>IF('Себестоимость(тр.режим)'!F28=0,"-",'Себестоимость(тр.режим)'!F28)</f>
        <v>-</v>
      </c>
      <c r="G29" s="14"/>
      <c r="H29" s="14"/>
      <c r="I29" s="65"/>
      <c r="J29" s="66" t="str">
        <f t="shared" si="0"/>
        <v>-</v>
      </c>
      <c r="K29" s="65"/>
      <c r="L29" s="65"/>
      <c r="M29" s="50" t="str">
        <f t="shared" si="1"/>
        <v>-</v>
      </c>
      <c r="N29" s="50" t="str">
        <f t="shared" si="6"/>
        <v>-</v>
      </c>
      <c r="O29" s="66" t="str">
        <f t="shared" si="2"/>
        <v>-</v>
      </c>
      <c r="P29" s="66" t="str">
        <f t="shared" si="3"/>
        <v>-</v>
      </c>
      <c r="Q29" s="66" t="str">
        <f t="shared" si="4"/>
        <v>-</v>
      </c>
      <c r="R29" s="8"/>
    </row>
    <row r="30" spans="2:18" ht="10.5">
      <c r="B30" s="7"/>
      <c r="C30" s="14">
        <f t="shared" si="5"/>
        <v>20</v>
      </c>
      <c r="D30" s="75" t="str">
        <f>IF('Себестоимость(тр.режим)'!D29=0,"-",'Себестоимость(тр.режим)'!D29)</f>
        <v>-</v>
      </c>
      <c r="E30" s="14" t="str">
        <f>IF('Себестоимость(тр.режим)'!E29=0,"-",'Себестоимость(тр.режим)'!E29)</f>
        <v>-</v>
      </c>
      <c r="F30" s="14" t="str">
        <f>IF('Себестоимость(тр.режим)'!F29=0,"-",'Себестоимость(тр.режим)'!F29)</f>
        <v>-</v>
      </c>
      <c r="G30" s="14"/>
      <c r="H30" s="14"/>
      <c r="I30" s="65"/>
      <c r="J30" s="66" t="str">
        <f t="shared" si="0"/>
        <v>-</v>
      </c>
      <c r="K30" s="65"/>
      <c r="L30" s="65"/>
      <c r="M30" s="50" t="str">
        <f t="shared" si="1"/>
        <v>-</v>
      </c>
      <c r="N30" s="50" t="str">
        <f t="shared" si="6"/>
        <v>-</v>
      </c>
      <c r="O30" s="66" t="str">
        <f t="shared" si="2"/>
        <v>-</v>
      </c>
      <c r="P30" s="66" t="str">
        <f t="shared" si="3"/>
        <v>-</v>
      </c>
      <c r="Q30" s="66" t="str">
        <f t="shared" si="4"/>
        <v>-</v>
      </c>
      <c r="R30" s="8"/>
    </row>
    <row r="31" spans="2:18" ht="10.5">
      <c r="B31" s="7"/>
      <c r="C31" s="14">
        <f t="shared" si="5"/>
        <v>21</v>
      </c>
      <c r="D31" s="75" t="str">
        <f>IF('Себестоимость(тр.режим)'!D30=0,"-",'Себестоимость(тр.режим)'!D30)</f>
        <v>-</v>
      </c>
      <c r="E31" s="14" t="str">
        <f>IF('Себестоимость(тр.режим)'!E30=0,"-",'Себестоимость(тр.режим)'!E30)</f>
        <v>-</v>
      </c>
      <c r="F31" s="14" t="str">
        <f>IF('Себестоимость(тр.режим)'!F30=0,"-",'Себестоимость(тр.режим)'!F30)</f>
        <v>-</v>
      </c>
      <c r="G31" s="14"/>
      <c r="H31" s="14"/>
      <c r="I31" s="65"/>
      <c r="J31" s="66" t="str">
        <f t="shared" si="0"/>
        <v>-</v>
      </c>
      <c r="K31" s="65"/>
      <c r="L31" s="65"/>
      <c r="M31" s="50" t="str">
        <f t="shared" si="1"/>
        <v>-</v>
      </c>
      <c r="N31" s="50" t="str">
        <f t="shared" si="6"/>
        <v>-</v>
      </c>
      <c r="O31" s="66" t="str">
        <f t="shared" si="2"/>
        <v>-</v>
      </c>
      <c r="P31" s="66" t="str">
        <f t="shared" si="3"/>
        <v>-</v>
      </c>
      <c r="Q31" s="66" t="str">
        <f t="shared" si="4"/>
        <v>-</v>
      </c>
      <c r="R31" s="8"/>
    </row>
    <row r="32" spans="2:18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</row>
    <row r="33" spans="2:58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22:58" ht="10.5">
      <c r="V34" s="2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0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3:58" ht="10.5">
      <c r="C35" s="31"/>
      <c r="D35" s="31"/>
      <c r="V35" s="28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3:4" ht="10.5">
      <c r="C36" s="31"/>
      <c r="D36" s="31"/>
    </row>
    <row r="39" ht="10.5">
      <c r="T39" s="23"/>
    </row>
  </sheetData>
  <sheetProtection/>
  <mergeCells count="20">
    <mergeCell ref="M8:N8"/>
    <mergeCell ref="M9:M10"/>
    <mergeCell ref="N9:N10"/>
    <mergeCell ref="C4:Q4"/>
    <mergeCell ref="C5:Q5"/>
    <mergeCell ref="C6:Q6"/>
    <mergeCell ref="C8:C10"/>
    <mergeCell ref="D8:D10"/>
    <mergeCell ref="E8:E10"/>
    <mergeCell ref="F8:F10"/>
    <mergeCell ref="O8:Q8"/>
    <mergeCell ref="P9:P10"/>
    <mergeCell ref="Q9:Q10"/>
    <mergeCell ref="O9:O10"/>
    <mergeCell ref="I9:J9"/>
    <mergeCell ref="G8:G10"/>
    <mergeCell ref="H8:H9"/>
    <mergeCell ref="I8:L8"/>
    <mergeCell ref="K9:K10"/>
    <mergeCell ref="L9:L10"/>
  </mergeCells>
  <hyperlinks>
    <hyperlink ref="T5" location="'Калькуляция (тр.режим)'!A1" display="Калькуляция стоимости 1 машино-часа (транспортный режим)"/>
    <hyperlink ref="T6" location="'Калькуляция(экскавация)'!A1" display="Калькуляция стоимости 1 машино-часа (транспортный режим)"/>
    <hyperlink ref="T7" location="'Калькуляция(погрузка)'!A1" display="Калькуляция стоимости 1 машино-часа (погрузка)"/>
    <hyperlink ref="T8" location="'Себестоимость(тр.режим)'!A1" display="Расчет производственной себестоимости 1 машино-часа (транспортный режим)"/>
    <hyperlink ref="T9" location="'Себестоимость(экскавация)'!A1" display="Расчет производственной себестоимости 1 машино-часа (экскавация)"/>
    <hyperlink ref="T10" location="'Себестоимость(погрузка)'!A1" display="Расчет производственной себестоимости 1 машино-часа (погрузка)"/>
    <hyperlink ref="T11" location="ГСМ!A1" display="Расчет затрат на топливо (ГСМ)"/>
    <hyperlink ref="T12" location="СМ!A1" display="Расчет затрат на смазочные материалы (СМ)"/>
    <hyperlink ref="T13" location="ЗП!A1" display="Расчет затрат на заработную плату водителей "/>
    <hyperlink ref="T14" location="амортизация!A1" display="Расчет амортизационных отчислений"/>
    <hyperlink ref="T15" location="'расчет % ОПР'!A1" display="Расчет процента общепроизводственных расходов"/>
    <hyperlink ref="T16" location="'расчет % ОХР'!A1" display="Расчет процента общехозяйственных расходов"/>
    <hyperlink ref="T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7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9.00390625" style="1" customWidth="1"/>
    <col min="6" max="6" width="10.421875" style="1" customWidth="1"/>
    <col min="7" max="7" width="7.00390625" style="1" bestFit="1" customWidth="1"/>
    <col min="8" max="8" width="8.28125" style="1" customWidth="1"/>
    <col min="9" max="9" width="11.140625" style="1" bestFit="1" customWidth="1"/>
    <col min="10" max="10" width="8.28125" style="1" customWidth="1"/>
    <col min="11" max="11" width="8.8515625" style="1" customWidth="1"/>
    <col min="12" max="12" width="8.28125" style="1" customWidth="1"/>
    <col min="13" max="13" width="11.140625" style="1" bestFit="1" customWidth="1"/>
    <col min="14" max="14" width="8.28125" style="1" customWidth="1"/>
    <col min="15" max="15" width="10.140625" style="1" customWidth="1"/>
    <col min="16" max="17" width="8.28125" style="1" customWidth="1"/>
    <col min="18" max="18" width="2.140625" style="1" customWidth="1"/>
    <col min="19" max="19" width="1.57421875" style="1" customWidth="1"/>
    <col min="20" max="20" width="53.57421875" style="1" customWidth="1"/>
    <col min="21" max="16384" width="9.140625" style="1" customWidth="1"/>
  </cols>
  <sheetData>
    <row r="1" spans="1:2" ht="11.25" thickBot="1">
      <c r="A1" s="1"/>
      <c r="B1" s="2" t="s">
        <v>0</v>
      </c>
    </row>
    <row r="2" spans="2:18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8"/>
    </row>
    <row r="4" spans="2:18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"/>
    </row>
    <row r="5" spans="2:20" ht="15">
      <c r="B5" s="7"/>
      <c r="C5" s="81" t="s">
        <v>182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"/>
      <c r="T5" s="68" t="s">
        <v>175</v>
      </c>
    </row>
    <row r="6" spans="2:20" ht="15">
      <c r="B6" s="7"/>
      <c r="C6" s="101" t="str">
        <f>'Калькуляция (тр.режим)'!C10:J10</f>
        <v>Экскаваторы колесные одноковшовые с ковшом вместимостью до 0,10 куб.м   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8"/>
      <c r="T6" s="68" t="s">
        <v>176</v>
      </c>
    </row>
    <row r="7" spans="2:20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  <c r="T7" s="68" t="s">
        <v>177</v>
      </c>
    </row>
    <row r="8" spans="2:20" ht="18" customHeight="1">
      <c r="B8" s="7"/>
      <c r="C8" s="103" t="s">
        <v>1</v>
      </c>
      <c r="D8" s="103" t="s">
        <v>31</v>
      </c>
      <c r="E8" s="103" t="s">
        <v>32</v>
      </c>
      <c r="F8" s="103" t="s">
        <v>34</v>
      </c>
      <c r="G8" s="102" t="s">
        <v>154</v>
      </c>
      <c r="H8" s="102"/>
      <c r="I8" s="102"/>
      <c r="J8" s="102"/>
      <c r="K8" s="102" t="s">
        <v>155</v>
      </c>
      <c r="L8" s="102"/>
      <c r="M8" s="102"/>
      <c r="N8" s="102"/>
      <c r="O8" s="102" t="s">
        <v>160</v>
      </c>
      <c r="P8" s="102"/>
      <c r="Q8" s="102"/>
      <c r="R8" s="8"/>
      <c r="T8" s="68" t="s">
        <v>178</v>
      </c>
    </row>
    <row r="9" spans="2:20" ht="10.5" customHeight="1">
      <c r="B9" s="7"/>
      <c r="C9" s="105"/>
      <c r="D9" s="105"/>
      <c r="E9" s="105"/>
      <c r="F9" s="105"/>
      <c r="G9" s="102" t="s">
        <v>156</v>
      </c>
      <c r="H9" s="102" t="s">
        <v>159</v>
      </c>
      <c r="I9" s="102" t="s">
        <v>157</v>
      </c>
      <c r="J9" s="102" t="s">
        <v>158</v>
      </c>
      <c r="K9" s="108" t="str">
        <f>G9</f>
        <v>моторное</v>
      </c>
      <c r="L9" s="108" t="str">
        <f>H9</f>
        <v>трансмис- сионное</v>
      </c>
      <c r="M9" s="108" t="str">
        <f>I9</f>
        <v>индустриальное</v>
      </c>
      <c r="N9" s="108" t="str">
        <f>J9</f>
        <v>пластичные смазки</v>
      </c>
      <c r="O9" s="103" t="s">
        <v>147</v>
      </c>
      <c r="P9" s="103" t="s">
        <v>148</v>
      </c>
      <c r="Q9" s="103" t="s">
        <v>149</v>
      </c>
      <c r="R9" s="8"/>
      <c r="T9" s="68" t="s">
        <v>179</v>
      </c>
    </row>
    <row r="10" spans="2:20" ht="31.5" customHeight="1">
      <c r="B10" s="7"/>
      <c r="C10" s="104"/>
      <c r="D10" s="104"/>
      <c r="E10" s="104"/>
      <c r="F10" s="104"/>
      <c r="G10" s="102"/>
      <c r="H10" s="102"/>
      <c r="I10" s="102"/>
      <c r="J10" s="102"/>
      <c r="K10" s="109"/>
      <c r="L10" s="109"/>
      <c r="M10" s="109"/>
      <c r="N10" s="109"/>
      <c r="O10" s="104"/>
      <c r="P10" s="104"/>
      <c r="Q10" s="104"/>
      <c r="R10" s="8"/>
      <c r="T10" s="68" t="s">
        <v>180</v>
      </c>
    </row>
    <row r="11" spans="2:20" ht="31.5">
      <c r="B11" s="7"/>
      <c r="C11" s="14">
        <v>1</v>
      </c>
      <c r="D11" s="75" t="str">
        <f>'Себестоимость(тр.режим)'!D10</f>
        <v>Бульдозер-экскаватор ДЗ-133 ЭЦ-40 (шасси МТЗ-82.1, дв. Д-243)</v>
      </c>
      <c r="E11" s="14" t="str">
        <f>'Себестоимость(тр.режим)'!E10</f>
        <v>6765 АА-5</v>
      </c>
      <c r="F11" s="14" t="str">
        <f>'Себестоимость(тр.режим)'!F10</f>
        <v>Трансп. цех</v>
      </c>
      <c r="G11" s="65">
        <v>6</v>
      </c>
      <c r="H11" s="65">
        <v>0.5</v>
      </c>
      <c r="I11" s="65">
        <v>1.2</v>
      </c>
      <c r="J11" s="65">
        <v>0.36</v>
      </c>
      <c r="K11" s="65">
        <v>2100</v>
      </c>
      <c r="L11" s="65">
        <v>4100</v>
      </c>
      <c r="M11" s="65">
        <v>1010</v>
      </c>
      <c r="N11" s="65">
        <v>8950</v>
      </c>
      <c r="O11" s="66">
        <f>IF(ГСМ!O11="-","-",ROUND(((ГСМ!I11+ГСМ!J11)/100)*(G11*K11+H11*L11+I11*M11+J11*N11),0))</f>
        <v>1107</v>
      </c>
      <c r="P11" s="66">
        <f>IF(ГСМ!O11="-","-",ROUND((ГСМ!K11/100)*(G11*K11+H11*L11+I11*M11+J11*N11),0))</f>
        <v>1260</v>
      </c>
      <c r="Q11" s="66">
        <f>IF(ГСМ!O11="-","-",ROUND((ГСМ!L11/100)*(G11*K11+H11*L11+I11*M11+J11*N11),0))</f>
        <v>878</v>
      </c>
      <c r="R11" s="8"/>
      <c r="T11" s="68" t="s">
        <v>181</v>
      </c>
    </row>
    <row r="12" spans="2:20" ht="31.5">
      <c r="B12" s="7"/>
      <c r="C12" s="14">
        <f>C11+1</f>
        <v>2</v>
      </c>
      <c r="D12" s="75" t="str">
        <f>IF('Себестоимость(тр.режим)'!D11=0,"-",'Себестоимость(тр.режим)'!D11)</f>
        <v>Погрузчик-экскаватор Caterpillar CAT-428Е (дв. CAT-3054C DIT, 72,8 kW)</v>
      </c>
      <c r="E12" s="14" t="str">
        <f>IF('Себестоимость(тр.режим)'!E11=0,"-",'Себестоимость(тр.режим)'!E11)</f>
        <v>5642 ВВ-5</v>
      </c>
      <c r="F12" s="14" t="str">
        <f>IF('Себестоимость(тр.режим)'!F11=0,"-",'Себестоимость(тр.режим)'!F11)</f>
        <v>Трансп. цех</v>
      </c>
      <c r="G12" s="65">
        <v>6</v>
      </c>
      <c r="H12" s="65">
        <v>0.5</v>
      </c>
      <c r="I12" s="65">
        <v>1.2</v>
      </c>
      <c r="J12" s="65">
        <v>0.36</v>
      </c>
      <c r="K12" s="65">
        <v>2100</v>
      </c>
      <c r="L12" s="65">
        <v>4100</v>
      </c>
      <c r="M12" s="65">
        <v>1010</v>
      </c>
      <c r="N12" s="65">
        <v>8950</v>
      </c>
      <c r="O12" s="66">
        <f>IF(ГСМ!O12="-","-",ROUND(((ГСМ!I12+ГСМ!J12)/100)*(G12*K12+H12*L12+I12*M12+J12*N12),0))</f>
        <v>2042</v>
      </c>
      <c r="P12" s="66">
        <f>IF(ГСМ!O12="-","-",ROUND((ГСМ!K12/100)*(G12*K12+H12*L12+I12*M12+J12*N12),0))</f>
        <v>1641</v>
      </c>
      <c r="Q12" s="66">
        <f>IF(ГСМ!O12="-","-",ROUND((ГСМ!L12/100)*(G12*K12+H12*L12+I12*M12+J12*N12),0))</f>
        <v>2004</v>
      </c>
      <c r="R12" s="8"/>
      <c r="T12" s="68" t="s">
        <v>183</v>
      </c>
    </row>
    <row r="13" spans="2:20" ht="21">
      <c r="B13" s="7"/>
      <c r="C13" s="14">
        <f aca="true" t="shared" si="0" ref="C13:C31">C12+1</f>
        <v>3</v>
      </c>
      <c r="D13" s="75" t="str">
        <f>IF('Себестоимость(тр.режим)'!D12=0,"-",'Себестоимость(тр.режим)'!D12)</f>
        <v>Погрузчик ТО-49 (шасси МТЗ-82, дв. Д-240) </v>
      </c>
      <c r="E13" s="14" t="str">
        <f>IF('Себестоимость(тр.режим)'!E12=0,"-",'Себестоимость(тр.режим)'!E12)</f>
        <v>4455 EA-5</v>
      </c>
      <c r="F13" s="14" t="str">
        <f>IF('Себестоимость(тр.режим)'!F12=0,"-",'Себестоимость(тр.режим)'!F12)</f>
        <v>Трансп. цех</v>
      </c>
      <c r="G13" s="65">
        <v>6</v>
      </c>
      <c r="H13" s="65">
        <v>0.5</v>
      </c>
      <c r="I13" s="65">
        <v>1.2</v>
      </c>
      <c r="J13" s="65">
        <v>0.36</v>
      </c>
      <c r="K13" s="65">
        <v>2100</v>
      </c>
      <c r="L13" s="65">
        <v>4100</v>
      </c>
      <c r="M13" s="65">
        <v>1010</v>
      </c>
      <c r="N13" s="65">
        <v>8950</v>
      </c>
      <c r="O13" s="66">
        <f>IF(ГСМ!O13="-","-",ROUND(((ГСМ!I13+ГСМ!J13)/100)*(G13*K13+H13*L13+I13*M13+J13*N13),0))</f>
        <v>1011</v>
      </c>
      <c r="P13" s="66">
        <f>IF(ГСМ!O13="-","-",ROUND((ГСМ!K13/100)*(G13*K13+H13*L13+I13*M13+J13*N13),0))</f>
        <v>840</v>
      </c>
      <c r="Q13" s="66">
        <f>IF(ГСМ!O13="-","-",ROUND((ГСМ!L13/100)*(G13*K13+H13*L13+I13*M13+J13*N13),0))</f>
        <v>1011</v>
      </c>
      <c r="R13" s="8"/>
      <c r="T13" s="68" t="s">
        <v>184</v>
      </c>
    </row>
    <row r="14" spans="2:20" ht="31.5">
      <c r="B14" s="7"/>
      <c r="C14" s="14">
        <f t="shared" si="0"/>
        <v>4</v>
      </c>
      <c r="D14" s="75" t="str">
        <f>IF('Себестоимость(тр.режим)'!D13=0,"-",'Себестоимость(тр.режим)'!D13)</f>
        <v>Погрузчик-экскаватор JCB 3CX SITEMASTER GP (дв. JCB444T, JCB444T1, 68 kW)</v>
      </c>
      <c r="E14" s="14" t="str">
        <f>IF('Себестоимость(тр.режим)'!E13=0,"-",'Себестоимость(тр.режим)'!E13)</f>
        <v>4785 AX-5</v>
      </c>
      <c r="F14" s="14" t="str">
        <f>IF('Себестоимость(тр.режим)'!F13=0,"-",'Себестоимость(тр.режим)'!F13)</f>
        <v>Трансп. цех</v>
      </c>
      <c r="G14" s="65">
        <v>6</v>
      </c>
      <c r="H14" s="65">
        <v>0.5</v>
      </c>
      <c r="I14" s="65">
        <v>1.2</v>
      </c>
      <c r="J14" s="65">
        <v>0.36</v>
      </c>
      <c r="K14" s="65">
        <v>2100</v>
      </c>
      <c r="L14" s="65">
        <v>4100</v>
      </c>
      <c r="M14" s="65">
        <v>1010</v>
      </c>
      <c r="N14" s="65">
        <v>8950</v>
      </c>
      <c r="O14" s="66">
        <f>IF(ГСМ!O14="-","-",ROUND(((ГСМ!I14+ГСМ!J14)/100)*(G14*K14+H14*L14+I14*M14+J14*N14),0))</f>
        <v>1908</v>
      </c>
      <c r="P14" s="66">
        <f>IF(ГСМ!O14="-","-",ROUND((ГСМ!K14/100)*(G14*K14+H14*L14+I14*M14+J14*N14),0))</f>
        <v>1145</v>
      </c>
      <c r="Q14" s="66">
        <f>IF(ГСМ!O14="-","-",ROUND((ГСМ!L14/100)*(G14*K14+H14*L14+I14*M14+J14*N14),0))</f>
        <v>1546</v>
      </c>
      <c r="R14" s="8"/>
      <c r="T14" s="68" t="s">
        <v>118</v>
      </c>
    </row>
    <row r="15" spans="2:20" ht="31.5">
      <c r="B15" s="7"/>
      <c r="C15" s="14">
        <f t="shared" si="0"/>
        <v>5</v>
      </c>
      <c r="D15" s="75" t="str">
        <f>IF('Себестоимость(тр.режим)'!D14=0,"-",'Себестоимость(тр.режим)'!D14)</f>
        <v>Погрузчик-экскаватор ПЭ-82 (шасси МТЗ-82П, дв. Д-243, Д-243-486)</v>
      </c>
      <c r="E15" s="14" t="str">
        <f>IF('Себестоимость(тр.режим)'!E14=0,"-",'Себестоимость(тр.режим)'!E14)</f>
        <v>2210 KK-5</v>
      </c>
      <c r="F15" s="14" t="str">
        <f>IF('Себестоимость(тр.режим)'!F14=0,"-",'Себестоимость(тр.режим)'!F14)</f>
        <v>Трансп. цех</v>
      </c>
      <c r="G15" s="65">
        <v>6</v>
      </c>
      <c r="H15" s="65">
        <v>0.5</v>
      </c>
      <c r="I15" s="65">
        <v>1.2</v>
      </c>
      <c r="J15" s="65">
        <v>0.36</v>
      </c>
      <c r="K15" s="65">
        <v>2100</v>
      </c>
      <c r="L15" s="65">
        <v>4100</v>
      </c>
      <c r="M15" s="65">
        <v>1010</v>
      </c>
      <c r="N15" s="65">
        <v>8950</v>
      </c>
      <c r="O15" s="66">
        <f>IF(ГСМ!O15="-","-",ROUND(((ГСМ!I15+ГСМ!J15)/100)*(G15*K15+H15*L15+I15*M15+J15*N15),0))</f>
        <v>1050</v>
      </c>
      <c r="P15" s="66">
        <f>IF(ГСМ!O15="-","-",ROUND((ГСМ!K15/100)*(G15*K15+H15*L15+I15*M15+J15*N15),0))</f>
        <v>802</v>
      </c>
      <c r="Q15" s="66">
        <f>IF(ГСМ!O15="-","-",ROUND((ГСМ!L15/100)*(G15*K15+H15*L15+I15*M15+J15*N15),0))</f>
        <v>878</v>
      </c>
      <c r="R15" s="8"/>
      <c r="T15" s="68" t="s">
        <v>92</v>
      </c>
    </row>
    <row r="16" spans="2:20" ht="15">
      <c r="B16" s="7"/>
      <c r="C16" s="14">
        <f t="shared" si="0"/>
        <v>6</v>
      </c>
      <c r="D16" s="75" t="str">
        <f>IF('Себестоимость(тр.режим)'!D15=0,"-",'Себестоимость(тр.режим)'!D15)</f>
        <v>-</v>
      </c>
      <c r="E16" s="14" t="str">
        <f>IF('Себестоимость(тр.режим)'!E15=0,"-",'Себестоимость(тр.режим)'!E15)</f>
        <v>-</v>
      </c>
      <c r="F16" s="14" t="str">
        <f>IF('Себестоимость(тр.режим)'!F15=0,"-",'Себестоимость(тр.режим)'!F15)</f>
        <v>-</v>
      </c>
      <c r="G16" s="65"/>
      <c r="H16" s="65"/>
      <c r="I16" s="65"/>
      <c r="J16" s="65"/>
      <c r="K16" s="65"/>
      <c r="L16" s="65"/>
      <c r="M16" s="65"/>
      <c r="N16" s="65"/>
      <c r="O16" s="66" t="str">
        <f>IF(ГСМ!O16="-","-",ROUND(((ГСМ!I16+ГСМ!J16)/100)*(G16*K16+H16*L16+I16*M16+J16*N16),0))</f>
        <v>-</v>
      </c>
      <c r="P16" s="66" t="str">
        <f>IF(ГСМ!O16="-","-",ROUND((ГСМ!K16/100)*(G16*K16+H16*L16+I16*M16+J16*N16),0))</f>
        <v>-</v>
      </c>
      <c r="Q16" s="66" t="str">
        <f>IF(ГСМ!O16="-","-",ROUND((ГСМ!L16/100)*(G16*K16+H16*L16+I16*M16+J16*N16),0))</f>
        <v>-</v>
      </c>
      <c r="R16" s="8"/>
      <c r="T16" s="68" t="s">
        <v>108</v>
      </c>
    </row>
    <row r="17" spans="2:20" ht="15">
      <c r="B17" s="7"/>
      <c r="C17" s="14">
        <f t="shared" si="0"/>
        <v>7</v>
      </c>
      <c r="D17" s="75" t="str">
        <f>IF('Себестоимость(тр.режим)'!D16=0,"-",'Себестоимость(тр.режим)'!D16)</f>
        <v>-</v>
      </c>
      <c r="E17" s="14" t="str">
        <f>IF('Себестоимость(тр.режим)'!E16=0,"-",'Себестоимость(тр.режим)'!E16)</f>
        <v>-</v>
      </c>
      <c r="F17" s="14" t="str">
        <f>IF('Себестоимость(тр.режим)'!F16=0,"-",'Себестоимость(тр.режим)'!F16)</f>
        <v>-</v>
      </c>
      <c r="G17" s="65"/>
      <c r="H17" s="65"/>
      <c r="I17" s="65"/>
      <c r="J17" s="65"/>
      <c r="K17" s="65"/>
      <c r="L17" s="65"/>
      <c r="M17" s="65"/>
      <c r="N17" s="65"/>
      <c r="O17" s="66" t="str">
        <f>IF(ГСМ!O17="-","-",ROUND(((ГСМ!I17+ГСМ!J17)/100)*(G17*K17+H17*L17+I17*M17+J17*N17),0))</f>
        <v>-</v>
      </c>
      <c r="P17" s="66" t="str">
        <f>IF(ГСМ!O17="-","-",ROUND((ГСМ!K17/100)*(G17*K17+H17*L17+I17*M17+J17*N17),0))</f>
        <v>-</v>
      </c>
      <c r="Q17" s="66" t="str">
        <f>IF(ГСМ!O17="-","-",ROUND((ГСМ!L17/100)*(G17*K17+H17*L17+I17*M17+J17*N17),0))</f>
        <v>-</v>
      </c>
      <c r="R17" s="8"/>
      <c r="T17" s="68" t="s">
        <v>117</v>
      </c>
    </row>
    <row r="18" spans="2:18" ht="10.5">
      <c r="B18" s="7"/>
      <c r="C18" s="14">
        <f t="shared" si="0"/>
        <v>8</v>
      </c>
      <c r="D18" s="75" t="str">
        <f>IF('Себестоимость(тр.режим)'!D17=0,"-",'Себестоимость(тр.режим)'!D17)</f>
        <v>-</v>
      </c>
      <c r="E18" s="14" t="str">
        <f>IF('Себестоимость(тр.режим)'!E17=0,"-",'Себестоимость(тр.режим)'!E17)</f>
        <v>-</v>
      </c>
      <c r="F18" s="14" t="str">
        <f>IF('Себестоимость(тр.режим)'!F17=0,"-",'Себестоимость(тр.режим)'!F17)</f>
        <v>-</v>
      </c>
      <c r="G18" s="65"/>
      <c r="H18" s="65"/>
      <c r="I18" s="65"/>
      <c r="J18" s="65"/>
      <c r="K18" s="65"/>
      <c r="L18" s="65"/>
      <c r="M18" s="65"/>
      <c r="N18" s="65"/>
      <c r="O18" s="66" t="str">
        <f>IF(ГСМ!O18="-","-",ROUND(((ГСМ!I18+ГСМ!J18)/100)*(G18*K18+H18*L18+I18*M18+J18*N18),0))</f>
        <v>-</v>
      </c>
      <c r="P18" s="66" t="str">
        <f>IF(ГСМ!O18="-","-",ROUND((ГСМ!K18/100)*(G18*K18+H18*L18+I18*M18+J18*N18),0))</f>
        <v>-</v>
      </c>
      <c r="Q18" s="66" t="str">
        <f>IF(ГСМ!O18="-","-",ROUND((ГСМ!L18/100)*(G18*K18+H18*L18+I18*M18+J18*N18),0))</f>
        <v>-</v>
      </c>
      <c r="R18" s="8"/>
    </row>
    <row r="19" spans="2:18" ht="10.5">
      <c r="B19" s="7"/>
      <c r="C19" s="14">
        <f t="shared" si="0"/>
        <v>9</v>
      </c>
      <c r="D19" s="75" t="str">
        <f>IF('Себестоимость(тр.режим)'!D18=0,"-",'Себестоимость(тр.режим)'!D18)</f>
        <v>-</v>
      </c>
      <c r="E19" s="14" t="str">
        <f>IF('Себестоимость(тр.режим)'!E18=0,"-",'Себестоимость(тр.режим)'!E18)</f>
        <v>-</v>
      </c>
      <c r="F19" s="14" t="str">
        <f>IF('Себестоимость(тр.режим)'!F18=0,"-",'Себестоимость(тр.режим)'!F18)</f>
        <v>-</v>
      </c>
      <c r="G19" s="65"/>
      <c r="H19" s="65"/>
      <c r="I19" s="65"/>
      <c r="J19" s="65"/>
      <c r="K19" s="65"/>
      <c r="L19" s="65"/>
      <c r="M19" s="65"/>
      <c r="N19" s="65"/>
      <c r="O19" s="66" t="str">
        <f>IF(ГСМ!O19="-","-",ROUND(((ГСМ!I19+ГСМ!J19)/100)*(G19*K19+H19*L19+I19*M19+J19*N19),0))</f>
        <v>-</v>
      </c>
      <c r="P19" s="66" t="str">
        <f>IF(ГСМ!O19="-","-",ROUND((ГСМ!K19/100)*(G19*K19+H19*L19+I19*M19+J19*N19),0))</f>
        <v>-</v>
      </c>
      <c r="Q19" s="66" t="str">
        <f>IF(ГСМ!O19="-","-",ROUND((ГСМ!L19/100)*(G19*K19+H19*L19+I19*M19+J19*N19),0))</f>
        <v>-</v>
      </c>
      <c r="R19" s="8"/>
    </row>
    <row r="20" spans="2:18" ht="10.5">
      <c r="B20" s="7"/>
      <c r="C20" s="14">
        <f t="shared" si="0"/>
        <v>10</v>
      </c>
      <c r="D20" s="75" t="str">
        <f>IF('Себестоимость(тр.режим)'!D19=0,"-",'Себестоимость(тр.режим)'!D19)</f>
        <v>-</v>
      </c>
      <c r="E20" s="14" t="str">
        <f>IF('Себестоимость(тр.режим)'!E19=0,"-",'Себестоимость(тр.режим)'!E19)</f>
        <v>-</v>
      </c>
      <c r="F20" s="14" t="str">
        <f>IF('Себестоимость(тр.режим)'!F19=0,"-",'Себестоимость(тр.режим)'!F19)</f>
        <v>-</v>
      </c>
      <c r="G20" s="65"/>
      <c r="H20" s="65"/>
      <c r="I20" s="65"/>
      <c r="J20" s="65"/>
      <c r="K20" s="65"/>
      <c r="L20" s="65"/>
      <c r="M20" s="65"/>
      <c r="N20" s="65"/>
      <c r="O20" s="66" t="str">
        <f>IF(ГСМ!O20="-","-",ROUND(((ГСМ!I20+ГСМ!J20)/100)*(G20*K20+H20*L20+I20*M20+J20*N20),0))</f>
        <v>-</v>
      </c>
      <c r="P20" s="66" t="str">
        <f>IF(ГСМ!O20="-","-",ROUND((ГСМ!K20/100)*(G20*K20+H20*L20+I20*M20+J20*N20),0))</f>
        <v>-</v>
      </c>
      <c r="Q20" s="66" t="str">
        <f>IF(ГСМ!O20="-","-",ROUND((ГСМ!L20/100)*(G20*K20+H20*L20+I20*M20+J20*N20),0))</f>
        <v>-</v>
      </c>
      <c r="R20" s="8"/>
    </row>
    <row r="21" spans="2:18" ht="10.5">
      <c r="B21" s="7"/>
      <c r="C21" s="14">
        <f t="shared" si="0"/>
        <v>11</v>
      </c>
      <c r="D21" s="75" t="str">
        <f>IF('Себестоимость(тр.режим)'!D20=0,"-",'Себестоимость(тр.режим)'!D20)</f>
        <v>-</v>
      </c>
      <c r="E21" s="14" t="str">
        <f>IF('Себестоимость(тр.режим)'!E20=0,"-",'Себестоимость(тр.режим)'!E20)</f>
        <v>-</v>
      </c>
      <c r="F21" s="14" t="str">
        <f>IF('Себестоимость(тр.режим)'!F20=0,"-",'Себестоимость(тр.режим)'!F20)</f>
        <v>-</v>
      </c>
      <c r="G21" s="65"/>
      <c r="H21" s="65"/>
      <c r="I21" s="65"/>
      <c r="J21" s="65"/>
      <c r="K21" s="65"/>
      <c r="L21" s="65"/>
      <c r="M21" s="65"/>
      <c r="N21" s="65"/>
      <c r="O21" s="66" t="str">
        <f>IF(ГСМ!O21="-","-",ROUND(((ГСМ!I21+ГСМ!J21)/100)*(G21*K21+H21*L21+I21*M21+J21*N21),0))</f>
        <v>-</v>
      </c>
      <c r="P21" s="66" t="str">
        <f>IF(ГСМ!O21="-","-",ROUND((ГСМ!K21/100)*(G21*K21+H21*L21+I21*M21+J21*N21),0))</f>
        <v>-</v>
      </c>
      <c r="Q21" s="66" t="str">
        <f>IF(ГСМ!O21="-","-",ROUND((ГСМ!L21/100)*(G21*K21+H21*L21+I21*M21+J21*N21),0))</f>
        <v>-</v>
      </c>
      <c r="R21" s="8"/>
    </row>
    <row r="22" spans="2:18" ht="10.5">
      <c r="B22" s="7"/>
      <c r="C22" s="14">
        <f t="shared" si="0"/>
        <v>12</v>
      </c>
      <c r="D22" s="75" t="str">
        <f>IF('Себестоимость(тр.режим)'!D21=0,"-",'Себестоимость(тр.режим)'!D21)</f>
        <v>-</v>
      </c>
      <c r="E22" s="14" t="str">
        <f>IF('Себестоимость(тр.режим)'!E21=0,"-",'Себестоимость(тр.режим)'!E21)</f>
        <v>-</v>
      </c>
      <c r="F22" s="14" t="str">
        <f>IF('Себестоимость(тр.режим)'!F21=0,"-",'Себестоимость(тр.режим)'!F21)</f>
        <v>-</v>
      </c>
      <c r="G22" s="65"/>
      <c r="H22" s="65"/>
      <c r="I22" s="65"/>
      <c r="J22" s="65"/>
      <c r="K22" s="65"/>
      <c r="L22" s="65"/>
      <c r="M22" s="65"/>
      <c r="N22" s="65"/>
      <c r="O22" s="66" t="str">
        <f>IF(ГСМ!O22="-","-",ROUND(((ГСМ!I22+ГСМ!J22)/100)*(G22*K22+H22*L22+I22*M22+J22*N22),0))</f>
        <v>-</v>
      </c>
      <c r="P22" s="66" t="str">
        <f>IF(ГСМ!O22="-","-",ROUND((ГСМ!K22/100)*(G22*K22+H22*L22+I22*M22+J22*N22),0))</f>
        <v>-</v>
      </c>
      <c r="Q22" s="66" t="str">
        <f>IF(ГСМ!O22="-","-",ROUND((ГСМ!L22/100)*(G22*K22+H22*L22+I22*M22+J22*N22),0))</f>
        <v>-</v>
      </c>
      <c r="R22" s="8"/>
    </row>
    <row r="23" spans="2:18" ht="10.5">
      <c r="B23" s="7"/>
      <c r="C23" s="14">
        <f t="shared" si="0"/>
        <v>13</v>
      </c>
      <c r="D23" s="75" t="str">
        <f>IF('Себестоимость(тр.режим)'!D22=0,"-",'Себестоимость(тр.режим)'!D22)</f>
        <v>-</v>
      </c>
      <c r="E23" s="14" t="str">
        <f>IF('Себестоимость(тр.режим)'!E22=0,"-",'Себестоимость(тр.режим)'!E22)</f>
        <v>-</v>
      </c>
      <c r="F23" s="14" t="str">
        <f>IF('Себестоимость(тр.режим)'!F22=0,"-",'Себестоимость(тр.режим)'!F22)</f>
        <v>-</v>
      </c>
      <c r="G23" s="65"/>
      <c r="H23" s="65"/>
      <c r="I23" s="65"/>
      <c r="J23" s="65"/>
      <c r="K23" s="65"/>
      <c r="L23" s="65"/>
      <c r="M23" s="65"/>
      <c r="N23" s="65"/>
      <c r="O23" s="66" t="str">
        <f>IF(ГСМ!O23="-","-",ROUND(((ГСМ!I23+ГСМ!J23)/100)*(G23*K23+H23*L23+I23*M23+J23*N23),0))</f>
        <v>-</v>
      </c>
      <c r="P23" s="66" t="str">
        <f>IF(ГСМ!O23="-","-",ROUND((ГСМ!K23/100)*(G23*K23+H23*L23+I23*M23+J23*N23),0))</f>
        <v>-</v>
      </c>
      <c r="Q23" s="66" t="str">
        <f>IF(ГСМ!O23="-","-",ROUND((ГСМ!L23/100)*(G23*K23+H23*L23+I23*M23+J23*N23),0))</f>
        <v>-</v>
      </c>
      <c r="R23" s="8"/>
    </row>
    <row r="24" spans="2:18" ht="10.5">
      <c r="B24" s="7"/>
      <c r="C24" s="14">
        <f t="shared" si="0"/>
        <v>14</v>
      </c>
      <c r="D24" s="75" t="str">
        <f>IF('Себестоимость(тр.режим)'!D23=0,"-",'Себестоимость(тр.режим)'!D23)</f>
        <v>-</v>
      </c>
      <c r="E24" s="14" t="str">
        <f>IF('Себестоимость(тр.режим)'!E23=0,"-",'Себестоимость(тр.режим)'!E23)</f>
        <v>-</v>
      </c>
      <c r="F24" s="14" t="str">
        <f>IF('Себестоимость(тр.режим)'!F23=0,"-",'Себестоимость(тр.режим)'!F23)</f>
        <v>-</v>
      </c>
      <c r="G24" s="65"/>
      <c r="H24" s="65"/>
      <c r="I24" s="65"/>
      <c r="J24" s="65"/>
      <c r="K24" s="65"/>
      <c r="L24" s="65"/>
      <c r="M24" s="65"/>
      <c r="N24" s="65"/>
      <c r="O24" s="66" t="str">
        <f>IF(ГСМ!O24="-","-",ROUND(((ГСМ!I24+ГСМ!J24)/100)*(G24*K24+H24*L24+I24*M24+J24*N24),0))</f>
        <v>-</v>
      </c>
      <c r="P24" s="66" t="str">
        <f>IF(ГСМ!O24="-","-",ROUND((ГСМ!K24/100)*(G24*K24+H24*L24+I24*M24+J24*N24),0))</f>
        <v>-</v>
      </c>
      <c r="Q24" s="66" t="str">
        <f>IF(ГСМ!O24="-","-",ROUND((ГСМ!L24/100)*(G24*K24+H24*L24+I24*M24+J24*N24),0))</f>
        <v>-</v>
      </c>
      <c r="R24" s="8"/>
    </row>
    <row r="25" spans="2:18" ht="10.5">
      <c r="B25" s="7"/>
      <c r="C25" s="14">
        <f t="shared" si="0"/>
        <v>15</v>
      </c>
      <c r="D25" s="75" t="str">
        <f>IF('Себестоимость(тр.режим)'!D24=0,"-",'Себестоимость(тр.режим)'!D24)</f>
        <v>-</v>
      </c>
      <c r="E25" s="14" t="str">
        <f>IF('Себестоимость(тр.режим)'!E24=0,"-",'Себестоимость(тр.режим)'!E24)</f>
        <v>-</v>
      </c>
      <c r="F25" s="14" t="str">
        <f>IF('Себестоимость(тр.режим)'!F24=0,"-",'Себестоимость(тр.режим)'!F24)</f>
        <v>-</v>
      </c>
      <c r="G25" s="65"/>
      <c r="H25" s="65"/>
      <c r="I25" s="65"/>
      <c r="J25" s="65"/>
      <c r="K25" s="65"/>
      <c r="L25" s="65"/>
      <c r="M25" s="65"/>
      <c r="N25" s="65"/>
      <c r="O25" s="66" t="str">
        <f>IF(ГСМ!O25="-","-",ROUND(((ГСМ!I25+ГСМ!J25)/100)*(G25*K25+H25*L25+I25*M25+J25*N25),0))</f>
        <v>-</v>
      </c>
      <c r="P25" s="66" t="str">
        <f>IF(ГСМ!O25="-","-",ROUND((ГСМ!K25/100)*(G25*K25+H25*L25+I25*M25+J25*N25),0))</f>
        <v>-</v>
      </c>
      <c r="Q25" s="66" t="str">
        <f>IF(ГСМ!O25="-","-",ROUND((ГСМ!L25/100)*(G25*K25+H25*L25+I25*M25+J25*N25),0))</f>
        <v>-</v>
      </c>
      <c r="R25" s="8"/>
    </row>
    <row r="26" spans="2:18" ht="10.5">
      <c r="B26" s="7"/>
      <c r="C26" s="14">
        <f t="shared" si="0"/>
        <v>16</v>
      </c>
      <c r="D26" s="75" t="str">
        <f>IF('Себестоимость(тр.режим)'!D25=0,"-",'Себестоимость(тр.режим)'!D25)</f>
        <v>-</v>
      </c>
      <c r="E26" s="14" t="str">
        <f>IF('Себестоимость(тр.режим)'!E25=0,"-",'Себестоимость(тр.режим)'!E25)</f>
        <v>-</v>
      </c>
      <c r="F26" s="14" t="str">
        <f>IF('Себестоимость(тр.режим)'!F25=0,"-",'Себестоимость(тр.режим)'!F25)</f>
        <v>-</v>
      </c>
      <c r="G26" s="65"/>
      <c r="H26" s="65"/>
      <c r="I26" s="65"/>
      <c r="J26" s="65"/>
      <c r="K26" s="65"/>
      <c r="L26" s="65"/>
      <c r="M26" s="65"/>
      <c r="N26" s="65"/>
      <c r="O26" s="66" t="str">
        <f>IF(ГСМ!O26="-","-",ROUND(((ГСМ!I26+ГСМ!J26)/100)*(G26*K26+H26*L26+I26*M26+J26*N26),0))</f>
        <v>-</v>
      </c>
      <c r="P26" s="66" t="str">
        <f>IF(ГСМ!O26="-","-",ROUND((ГСМ!K26/100)*(G26*K26+H26*L26+I26*M26+J26*N26),0))</f>
        <v>-</v>
      </c>
      <c r="Q26" s="66" t="str">
        <f>IF(ГСМ!O26="-","-",ROUND((ГСМ!L26/100)*(G26*K26+H26*L26+I26*M26+J26*N26),0))</f>
        <v>-</v>
      </c>
      <c r="R26" s="8"/>
    </row>
    <row r="27" spans="2:18" ht="10.5">
      <c r="B27" s="7"/>
      <c r="C27" s="14">
        <f t="shared" si="0"/>
        <v>17</v>
      </c>
      <c r="D27" s="75" t="str">
        <f>IF('Себестоимость(тр.режим)'!D26=0,"-",'Себестоимость(тр.режим)'!D26)</f>
        <v>-</v>
      </c>
      <c r="E27" s="14" t="str">
        <f>IF('Себестоимость(тр.режим)'!E26=0,"-",'Себестоимость(тр.режим)'!E26)</f>
        <v>-</v>
      </c>
      <c r="F27" s="14" t="str">
        <f>IF('Себестоимость(тр.режим)'!F26=0,"-",'Себестоимость(тр.режим)'!F26)</f>
        <v>-</v>
      </c>
      <c r="G27" s="65"/>
      <c r="H27" s="65"/>
      <c r="I27" s="65"/>
      <c r="J27" s="65"/>
      <c r="K27" s="65"/>
      <c r="L27" s="65"/>
      <c r="M27" s="65"/>
      <c r="N27" s="65"/>
      <c r="O27" s="66" t="str">
        <f>IF(ГСМ!O27="-","-",ROUND(((ГСМ!I27+ГСМ!J27)/100)*(G27*K27+H27*L27+I27*M27+J27*N27),0))</f>
        <v>-</v>
      </c>
      <c r="P27" s="66" t="str">
        <f>IF(ГСМ!O27="-","-",ROUND((ГСМ!K27/100)*(G27*K27+H27*L27+I27*M27+J27*N27),0))</f>
        <v>-</v>
      </c>
      <c r="Q27" s="66" t="str">
        <f>IF(ГСМ!O27="-","-",ROUND((ГСМ!L27/100)*(G27*K27+H27*L27+I27*M27+J27*N27),0))</f>
        <v>-</v>
      </c>
      <c r="R27" s="8"/>
    </row>
    <row r="28" spans="2:18" ht="10.5">
      <c r="B28" s="7"/>
      <c r="C28" s="14">
        <f t="shared" si="0"/>
        <v>18</v>
      </c>
      <c r="D28" s="75" t="str">
        <f>IF('Себестоимость(тр.режим)'!D27=0,"-",'Себестоимость(тр.режим)'!D27)</f>
        <v>-</v>
      </c>
      <c r="E28" s="14" t="str">
        <f>IF('Себестоимость(тр.режим)'!E27=0,"-",'Себестоимость(тр.режим)'!E27)</f>
        <v>-</v>
      </c>
      <c r="F28" s="14" t="str">
        <f>IF('Себестоимость(тр.режим)'!F27=0,"-",'Себестоимость(тр.режим)'!F27)</f>
        <v>-</v>
      </c>
      <c r="G28" s="65"/>
      <c r="H28" s="65"/>
      <c r="I28" s="65"/>
      <c r="J28" s="65"/>
      <c r="K28" s="65"/>
      <c r="L28" s="65"/>
      <c r="M28" s="65"/>
      <c r="N28" s="65"/>
      <c r="O28" s="66" t="str">
        <f>IF(ГСМ!O28="-","-",ROUND(((ГСМ!I28+ГСМ!J28)/100)*(G28*K28+H28*L28+I28*M28+J28*N28),0))</f>
        <v>-</v>
      </c>
      <c r="P28" s="66" t="str">
        <f>IF(ГСМ!O28="-","-",ROUND((ГСМ!K28/100)*(G28*K28+H28*L28+I28*M28+J28*N28),0))</f>
        <v>-</v>
      </c>
      <c r="Q28" s="66" t="str">
        <f>IF(ГСМ!O28="-","-",ROUND((ГСМ!L28/100)*(G28*K28+H28*L28+I28*M28+J28*N28),0))</f>
        <v>-</v>
      </c>
      <c r="R28" s="8"/>
    </row>
    <row r="29" spans="2:18" ht="10.5">
      <c r="B29" s="7"/>
      <c r="C29" s="14">
        <f t="shared" si="0"/>
        <v>19</v>
      </c>
      <c r="D29" s="75" t="str">
        <f>IF('Себестоимость(тр.режим)'!D28=0,"-",'Себестоимость(тр.режим)'!D28)</f>
        <v>-</v>
      </c>
      <c r="E29" s="14" t="str">
        <f>IF('Себестоимость(тр.режим)'!E28=0,"-",'Себестоимость(тр.режим)'!E28)</f>
        <v>-</v>
      </c>
      <c r="F29" s="14" t="str">
        <f>IF('Себестоимость(тр.режим)'!F28=0,"-",'Себестоимость(тр.режим)'!F28)</f>
        <v>-</v>
      </c>
      <c r="G29" s="65"/>
      <c r="H29" s="65"/>
      <c r="I29" s="65"/>
      <c r="J29" s="65"/>
      <c r="K29" s="65"/>
      <c r="L29" s="65"/>
      <c r="M29" s="65"/>
      <c r="N29" s="65"/>
      <c r="O29" s="66" t="str">
        <f>IF(ГСМ!O29="-","-",ROUND(((ГСМ!I29+ГСМ!J29)/100)*(G29*K29+H29*L29+I29*M29+J29*N29),0))</f>
        <v>-</v>
      </c>
      <c r="P29" s="66" t="str">
        <f>IF(ГСМ!O29="-","-",ROUND((ГСМ!K29/100)*(G29*K29+H29*L29+I29*M29+J29*N29),0))</f>
        <v>-</v>
      </c>
      <c r="Q29" s="66" t="str">
        <f>IF(ГСМ!O29="-","-",ROUND((ГСМ!L29/100)*(G29*K29+H29*L29+I29*M29+J29*N29),0))</f>
        <v>-</v>
      </c>
      <c r="R29" s="8"/>
    </row>
    <row r="30" spans="2:18" ht="10.5">
      <c r="B30" s="7"/>
      <c r="C30" s="14">
        <f t="shared" si="0"/>
        <v>20</v>
      </c>
      <c r="D30" s="75" t="str">
        <f>IF('Себестоимость(тр.режим)'!D29=0,"-",'Себестоимость(тр.режим)'!D29)</f>
        <v>-</v>
      </c>
      <c r="E30" s="14" t="str">
        <f>IF('Себестоимость(тр.режим)'!E29=0,"-",'Себестоимость(тр.режим)'!E29)</f>
        <v>-</v>
      </c>
      <c r="F30" s="14" t="str">
        <f>IF('Себестоимость(тр.режим)'!F29=0,"-",'Себестоимость(тр.режим)'!F29)</f>
        <v>-</v>
      </c>
      <c r="G30" s="65"/>
      <c r="H30" s="65"/>
      <c r="I30" s="65"/>
      <c r="J30" s="65"/>
      <c r="K30" s="65"/>
      <c r="L30" s="65"/>
      <c r="M30" s="65"/>
      <c r="N30" s="65"/>
      <c r="O30" s="66" t="str">
        <f>IF(ГСМ!O30="-","-",ROUND(((ГСМ!I30+ГСМ!J30)/100)*(G30*K30+H30*L30+I30*M30+J30*N30),0))</f>
        <v>-</v>
      </c>
      <c r="P30" s="66" t="str">
        <f>IF(ГСМ!O30="-","-",ROUND((ГСМ!K30/100)*(G30*K30+H30*L30+I30*M30+J30*N30),0))</f>
        <v>-</v>
      </c>
      <c r="Q30" s="66" t="str">
        <f>IF(ГСМ!O30="-","-",ROUND((ГСМ!L30/100)*(G30*K30+H30*L30+I30*M30+J30*N30),0))</f>
        <v>-</v>
      </c>
      <c r="R30" s="8"/>
    </row>
    <row r="31" spans="2:18" ht="10.5">
      <c r="B31" s="7"/>
      <c r="C31" s="14">
        <f t="shared" si="0"/>
        <v>21</v>
      </c>
      <c r="D31" s="75" t="str">
        <f>IF('Себестоимость(тр.режим)'!D30=0,"-",'Себестоимость(тр.режим)'!D30)</f>
        <v>-</v>
      </c>
      <c r="E31" s="14" t="str">
        <f>IF('Себестоимость(тр.режим)'!E30=0,"-",'Себестоимость(тр.режим)'!E30)</f>
        <v>-</v>
      </c>
      <c r="F31" s="14" t="str">
        <f>IF('Себестоимость(тр.режим)'!F30=0,"-",'Себестоимость(тр.режим)'!F30)</f>
        <v>-</v>
      </c>
      <c r="G31" s="65"/>
      <c r="H31" s="65"/>
      <c r="I31" s="65"/>
      <c r="J31" s="65"/>
      <c r="K31" s="65"/>
      <c r="L31" s="65"/>
      <c r="M31" s="65"/>
      <c r="N31" s="65"/>
      <c r="O31" s="66" t="str">
        <f>IF(ГСМ!O31="-","-",ROUND(((ГСМ!I31+ГСМ!J31)/100)*(G31*K31+H31*L31+I31*M31+J31*N31),0))</f>
        <v>-</v>
      </c>
      <c r="P31" s="66" t="str">
        <f>IF(ГСМ!O31="-","-",ROUND((ГСМ!K31/100)*(G31*K31+H31*L31+I31*M31+J31*N31),0))</f>
        <v>-</v>
      </c>
      <c r="Q31" s="66" t="str">
        <f>IF(ГСМ!O31="-","-",ROUND((ГСМ!L31/100)*(G31*K31+H31*L31+I31*M31+J31*N31),0))</f>
        <v>-</v>
      </c>
      <c r="R31" s="8"/>
    </row>
    <row r="32" spans="2:18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</row>
    <row r="33" spans="2:58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22:58" ht="10.5">
      <c r="V34" s="2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0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3:58" ht="10.5">
      <c r="C35" s="31"/>
      <c r="D35" s="31"/>
      <c r="V35" s="28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3:4" ht="10.5">
      <c r="C36" s="31"/>
      <c r="D36" s="31"/>
    </row>
    <row r="39" ht="10.5">
      <c r="T39" s="23"/>
    </row>
  </sheetData>
  <sheetProtection/>
  <mergeCells count="21">
    <mergeCell ref="O9:O10"/>
    <mergeCell ref="P9:P10"/>
    <mergeCell ref="H9:H10"/>
    <mergeCell ref="I9:I10"/>
    <mergeCell ref="J9:J10"/>
    <mergeCell ref="G9:G10"/>
    <mergeCell ref="E8:E10"/>
    <mergeCell ref="F8:F10"/>
    <mergeCell ref="M9:M10"/>
    <mergeCell ref="K8:N8"/>
    <mergeCell ref="N9:N10"/>
    <mergeCell ref="O8:Q8"/>
    <mergeCell ref="C4:Q4"/>
    <mergeCell ref="C5:Q5"/>
    <mergeCell ref="C6:Q6"/>
    <mergeCell ref="C8:C10"/>
    <mergeCell ref="D8:D10"/>
    <mergeCell ref="Q9:Q10"/>
    <mergeCell ref="K9:K10"/>
    <mergeCell ref="L9:L10"/>
    <mergeCell ref="G8:J8"/>
  </mergeCells>
  <hyperlinks>
    <hyperlink ref="T5" location="'Калькуляция (тр.режим)'!A1" display="Калькуляция стоимости 1 машино-часа (транспортный режим)"/>
    <hyperlink ref="T6" location="'Калькуляция(экскавация)'!A1" display="Калькуляция стоимости 1 машино-часа (транспортный режим)"/>
    <hyperlink ref="T7" location="'Калькуляция(погрузка)'!A1" display="Калькуляция стоимости 1 машино-часа (погрузка)"/>
    <hyperlink ref="T8" location="'Себестоимость(тр.режим)'!A1" display="Расчет производственной себестоимости 1 машино-часа (транспортный режим)"/>
    <hyperlink ref="T9" location="'Себестоимость(экскавация)'!A1" display="Расчет производственной себестоимости 1 машино-часа (экскавация)"/>
    <hyperlink ref="T10" location="'Себестоимость(погрузка)'!A1" display="Расчет производственной себестоимости 1 машино-часа (погрузка)"/>
    <hyperlink ref="T11" location="ГСМ!A1" display="Расчет затрат на топливо (ГСМ)"/>
    <hyperlink ref="T12" location="СМ!A1" display="Расчет затрат на смазочные материалы (СМ)"/>
    <hyperlink ref="T13" location="ЗП!A1" display="Расчет затрат на заработную плату водителей "/>
    <hyperlink ref="T14" location="амортизация!A1" display="Расчет амортизационных отчислений"/>
    <hyperlink ref="T15" location="'расчет % ОПР'!A1" display="Расчет процента общепроизводственных расходов"/>
    <hyperlink ref="T16" location="'расчет % ОХР'!A1" display="Расчет процента общехозяйственных расходов"/>
    <hyperlink ref="T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O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3.8515625" style="1" customWidth="1"/>
    <col min="5" max="5" width="15.7109375" style="1" bestFit="1" customWidth="1"/>
    <col min="6" max="6" width="6.28125" style="1" customWidth="1"/>
    <col min="7" max="7" width="5.28125" style="1" bestFit="1" customWidth="1"/>
    <col min="8" max="8" width="7.57421875" style="1" bestFit="1" customWidth="1"/>
    <col min="9" max="9" width="6.140625" style="1" bestFit="1" customWidth="1"/>
    <col min="10" max="10" width="7.28125" style="1" customWidth="1"/>
    <col min="11" max="11" width="5.28125" style="1" bestFit="1" customWidth="1"/>
    <col min="12" max="12" width="7.140625" style="1" bestFit="1" customWidth="1"/>
    <col min="13" max="13" width="5.28125" style="1" bestFit="1" customWidth="1"/>
    <col min="14" max="14" width="6.57421875" style="1" customWidth="1"/>
    <col min="15" max="15" width="7.7109375" style="1" customWidth="1"/>
    <col min="16" max="16" width="9.57421875" style="1" bestFit="1" customWidth="1"/>
    <col min="17" max="17" width="6.57421875" style="1" bestFit="1" customWidth="1"/>
    <col min="18" max="18" width="7.8515625" style="1" bestFit="1" customWidth="1"/>
    <col min="19" max="19" width="8.28125" style="1" bestFit="1" customWidth="1"/>
    <col min="20" max="20" width="7.8515625" style="1" bestFit="1" customWidth="1"/>
    <col min="21" max="21" width="5.7109375" style="1" bestFit="1" customWidth="1"/>
    <col min="22" max="22" width="7.57421875" style="1" customWidth="1"/>
    <col min="23" max="25" width="8.00390625" style="1" customWidth="1"/>
    <col min="26" max="26" width="9.421875" style="1" customWidth="1"/>
    <col min="27" max="27" width="10.7109375" style="1" customWidth="1"/>
    <col min="28" max="28" width="2.140625" style="1" customWidth="1"/>
    <col min="29" max="29" width="2.421875" style="1" customWidth="1"/>
    <col min="30" max="30" width="53.57421875" style="1" customWidth="1"/>
    <col min="31" max="16384" width="9.140625" style="1" customWidth="1"/>
  </cols>
  <sheetData>
    <row r="1" spans="1:2" ht="11.25" thickBot="1">
      <c r="A1" s="1"/>
      <c r="B1" s="2" t="s">
        <v>0</v>
      </c>
    </row>
    <row r="2" spans="2:28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8"/>
    </row>
    <row r="4" spans="2:28" ht="10.5">
      <c r="B4" s="7"/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"/>
    </row>
    <row r="5" spans="2:30" ht="15">
      <c r="B5" s="7"/>
      <c r="C5" s="81" t="s">
        <v>53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"/>
      <c r="AD5" s="68" t="s">
        <v>175</v>
      </c>
    </row>
    <row r="6" spans="2:30" ht="15">
      <c r="B6" s="7"/>
      <c r="C6" s="101" t="str">
        <f>'Себестоимость(тр.режим)'!C6:P6</f>
        <v>Экскаваторы колесные одноковшовые с ковшом вместимостью до 0,10 куб.м   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8"/>
      <c r="AD6" s="68" t="s">
        <v>176</v>
      </c>
    </row>
    <row r="7" spans="2:30" ht="15">
      <c r="B7" s="7"/>
      <c r="C7" s="110" t="s">
        <v>54</v>
      </c>
      <c r="D7" s="110"/>
      <c r="E7" s="110"/>
      <c r="F7" s="110"/>
      <c r="G7" s="73"/>
      <c r="H7" s="49">
        <v>220000</v>
      </c>
      <c r="I7" s="39" t="s">
        <v>57</v>
      </c>
      <c r="J7" s="4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8"/>
      <c r="AD7" s="68" t="s">
        <v>177</v>
      </c>
    </row>
    <row r="8" spans="2:30" ht="15">
      <c r="B8" s="7"/>
      <c r="C8" s="110" t="s">
        <v>126</v>
      </c>
      <c r="D8" s="110"/>
      <c r="E8" s="110"/>
      <c r="F8" s="110"/>
      <c r="G8" s="73"/>
      <c r="H8" s="49">
        <v>2037</v>
      </c>
      <c r="I8" s="39" t="s">
        <v>56</v>
      </c>
      <c r="J8" s="4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8"/>
      <c r="AD8" s="68" t="s">
        <v>178</v>
      </c>
    </row>
    <row r="9" spans="2:30" ht="15">
      <c r="B9" s="7"/>
      <c r="C9" s="110" t="s">
        <v>127</v>
      </c>
      <c r="D9" s="110"/>
      <c r="E9" s="110"/>
      <c r="F9" s="110"/>
      <c r="G9" s="73"/>
      <c r="H9" s="46">
        <f>ROUND(H8/12,1)</f>
        <v>169.8</v>
      </c>
      <c r="I9" s="39" t="s">
        <v>56</v>
      </c>
      <c r="J9" s="45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8"/>
      <c r="AD9" s="68" t="s">
        <v>179</v>
      </c>
    </row>
    <row r="10" spans="2:30" ht="15">
      <c r="B10" s="7"/>
      <c r="C10" s="110" t="s">
        <v>55</v>
      </c>
      <c r="D10" s="110"/>
      <c r="E10" s="110"/>
      <c r="F10" s="110"/>
      <c r="G10" s="73"/>
      <c r="H10" s="47">
        <f>ROUND(H7/H9,0)</f>
        <v>1296</v>
      </c>
      <c r="I10" s="39" t="s">
        <v>57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8"/>
      <c r="AD10" s="68" t="s">
        <v>180</v>
      </c>
    </row>
    <row r="11" spans="2:30" ht="15"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1"/>
      <c r="AB11" s="8"/>
      <c r="AD11" s="68" t="s">
        <v>181</v>
      </c>
    </row>
    <row r="12" spans="2:30" ht="55.5" customHeight="1">
      <c r="B12" s="7"/>
      <c r="C12" s="103" t="s">
        <v>1</v>
      </c>
      <c r="D12" s="103" t="s">
        <v>39</v>
      </c>
      <c r="E12" s="103" t="s">
        <v>31</v>
      </c>
      <c r="F12" s="103" t="s">
        <v>50</v>
      </c>
      <c r="G12" s="103" t="s">
        <v>163</v>
      </c>
      <c r="H12" s="103" t="s">
        <v>51</v>
      </c>
      <c r="I12" s="103" t="s">
        <v>52</v>
      </c>
      <c r="J12" s="103" t="s">
        <v>40</v>
      </c>
      <c r="K12" s="106" t="s">
        <v>41</v>
      </c>
      <c r="L12" s="111"/>
      <c r="M12" s="106" t="s">
        <v>59</v>
      </c>
      <c r="N12" s="111"/>
      <c r="O12" s="103" t="s">
        <v>60</v>
      </c>
      <c r="P12" s="103" t="s">
        <v>42</v>
      </c>
      <c r="Q12" s="106" t="s">
        <v>3</v>
      </c>
      <c r="R12" s="111"/>
      <c r="S12" s="106" t="s">
        <v>43</v>
      </c>
      <c r="T12" s="111"/>
      <c r="U12" s="106" t="s">
        <v>44</v>
      </c>
      <c r="V12" s="111"/>
      <c r="W12" s="106" t="s">
        <v>61</v>
      </c>
      <c r="X12" s="107"/>
      <c r="Y12" s="111"/>
      <c r="Z12" s="103" t="s">
        <v>45</v>
      </c>
      <c r="AA12" s="103" t="s">
        <v>46</v>
      </c>
      <c r="AB12" s="8"/>
      <c r="AD12" s="68" t="s">
        <v>183</v>
      </c>
    </row>
    <row r="13" spans="2:30" ht="38.25" customHeight="1">
      <c r="B13" s="7"/>
      <c r="C13" s="104"/>
      <c r="D13" s="104"/>
      <c r="E13" s="104"/>
      <c r="F13" s="104"/>
      <c r="G13" s="104"/>
      <c r="H13" s="104"/>
      <c r="I13" s="104"/>
      <c r="J13" s="104"/>
      <c r="K13" s="41" t="s">
        <v>58</v>
      </c>
      <c r="L13" s="41" t="s">
        <v>47</v>
      </c>
      <c r="M13" s="41" t="s">
        <v>58</v>
      </c>
      <c r="N13" s="41" t="s">
        <v>47</v>
      </c>
      <c r="O13" s="104"/>
      <c r="P13" s="104"/>
      <c r="Q13" s="41" t="s">
        <v>48</v>
      </c>
      <c r="R13" s="41" t="s">
        <v>47</v>
      </c>
      <c r="S13" s="41" t="s">
        <v>48</v>
      </c>
      <c r="T13" s="41" t="s">
        <v>47</v>
      </c>
      <c r="U13" s="41" t="s">
        <v>48</v>
      </c>
      <c r="V13" s="41" t="s">
        <v>47</v>
      </c>
      <c r="W13" s="41" t="s">
        <v>48</v>
      </c>
      <c r="X13" s="41" t="s">
        <v>62</v>
      </c>
      <c r="Y13" s="41" t="s">
        <v>49</v>
      </c>
      <c r="Z13" s="104"/>
      <c r="AA13" s="104"/>
      <c r="AB13" s="8"/>
      <c r="AD13" s="68" t="s">
        <v>184</v>
      </c>
    </row>
    <row r="14" spans="2:54" ht="42">
      <c r="B14" s="7"/>
      <c r="C14" s="14">
        <v>1</v>
      </c>
      <c r="D14" s="70" t="s">
        <v>162</v>
      </c>
      <c r="E14" s="74" t="str">
        <f>'Себестоимость(тр.режим)'!D10</f>
        <v>Бульдозер-экскаватор ДЗ-133 ЭЦ-40 (шасси МТЗ-82.1, дв. Д-243)</v>
      </c>
      <c r="F14" s="14">
        <v>1</v>
      </c>
      <c r="G14" s="14">
        <v>4</v>
      </c>
      <c r="H14" s="14">
        <v>2.32</v>
      </c>
      <c r="I14" s="14">
        <v>1.3</v>
      </c>
      <c r="J14" s="16">
        <f>I14*H14*$H$7</f>
        <v>663520</v>
      </c>
      <c r="K14" s="14">
        <v>1.25</v>
      </c>
      <c r="L14" s="16">
        <f>J14*(K14-1)</f>
        <v>165880</v>
      </c>
      <c r="M14" s="48">
        <v>1</v>
      </c>
      <c r="N14" s="16">
        <f>J14*(M14-1)</f>
        <v>0</v>
      </c>
      <c r="O14" s="16">
        <f>ROUND(J14+L14+N14,-1)</f>
        <v>829400</v>
      </c>
      <c r="P14" s="16">
        <f>O14*12*F14</f>
        <v>9952800</v>
      </c>
      <c r="Q14" s="38">
        <v>0.25</v>
      </c>
      <c r="R14" s="16">
        <f>P14*Q14</f>
        <v>2488200</v>
      </c>
      <c r="S14" s="38">
        <v>0.2</v>
      </c>
      <c r="T14" s="16">
        <f>P14*S14</f>
        <v>1990560</v>
      </c>
      <c r="U14" s="38">
        <v>0.01</v>
      </c>
      <c r="V14" s="16">
        <f>P14*U14</f>
        <v>99528</v>
      </c>
      <c r="W14" s="38">
        <v>0</v>
      </c>
      <c r="X14" s="16">
        <f>$H$8</f>
        <v>2037</v>
      </c>
      <c r="Y14" s="16">
        <f>$H$10*W14*X14*F14</f>
        <v>0</v>
      </c>
      <c r="Z14" s="16">
        <f>ROUND(P14+R14+T14+V14+Y14,0)</f>
        <v>14531088</v>
      </c>
      <c r="AA14" s="16">
        <f>ROUND((Z14/12)/$H$9,0)</f>
        <v>7131</v>
      </c>
      <c r="AB14" s="8"/>
      <c r="AC14" s="67"/>
      <c r="AD14" s="68" t="s">
        <v>118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2:54" ht="52.5">
      <c r="B15" s="7"/>
      <c r="C15" s="14">
        <f>C14+1</f>
        <v>2</v>
      </c>
      <c r="D15" s="70" t="s">
        <v>162</v>
      </c>
      <c r="E15" s="74" t="str">
        <f>IF('Себестоимость(тр.режим)'!D11=0,"-",'Себестоимость(тр.режим)'!D11)</f>
        <v>Погрузчик-экскаватор Caterpillar CAT-428Е (дв. CAT-3054C DIT, 72,8 kW)</v>
      </c>
      <c r="F15" s="14">
        <v>2</v>
      </c>
      <c r="G15" s="14">
        <v>4</v>
      </c>
      <c r="H15" s="14">
        <v>2.15</v>
      </c>
      <c r="I15" s="14">
        <v>1.3</v>
      </c>
      <c r="J15" s="16">
        <f aca="true" t="shared" si="0" ref="J15:J34">I15*H15*$H$7</f>
        <v>614900</v>
      </c>
      <c r="K15" s="14">
        <v>1.25</v>
      </c>
      <c r="L15" s="16">
        <f aca="true" t="shared" si="1" ref="L15:L34">J15*(K15-1)</f>
        <v>153725</v>
      </c>
      <c r="M15" s="48">
        <v>1</v>
      </c>
      <c r="N15" s="16">
        <f aca="true" t="shared" si="2" ref="N15:N34">J15*(M15-1)</f>
        <v>0</v>
      </c>
      <c r="O15" s="16">
        <f aca="true" t="shared" si="3" ref="O15:O34">ROUND(J15+L15+N15,-1)</f>
        <v>768630</v>
      </c>
      <c r="P15" s="16">
        <f aca="true" t="shared" si="4" ref="P15:P34">O15*12*F15</f>
        <v>18447120</v>
      </c>
      <c r="Q15" s="38">
        <v>0.2</v>
      </c>
      <c r="R15" s="16">
        <f aca="true" t="shared" si="5" ref="R15:R34">P15*Q15</f>
        <v>3689424</v>
      </c>
      <c r="S15" s="38">
        <v>0.15</v>
      </c>
      <c r="T15" s="16">
        <f aca="true" t="shared" si="6" ref="T15:T34">P15*S15</f>
        <v>2767068</v>
      </c>
      <c r="U15" s="38">
        <v>0</v>
      </c>
      <c r="V15" s="16">
        <f aca="true" t="shared" si="7" ref="V15:V34">P15*U15</f>
        <v>0</v>
      </c>
      <c r="W15" s="38">
        <v>0</v>
      </c>
      <c r="X15" s="16">
        <f aca="true" t="shared" si="8" ref="X15:X34">$H$8</f>
        <v>2037</v>
      </c>
      <c r="Y15" s="16">
        <f aca="true" t="shared" si="9" ref="Y15:Y33">$H$10*W15*X15*F15</f>
        <v>0</v>
      </c>
      <c r="Z15" s="16">
        <f aca="true" t="shared" si="10" ref="Z15:Z34">ROUND(P15+R15+T15+V15+Y15,0)</f>
        <v>24903612</v>
      </c>
      <c r="AA15" s="16">
        <f aca="true" t="shared" si="11" ref="AA15:AA34">ROUND((Z15/12)/$H$9,0)</f>
        <v>12222</v>
      </c>
      <c r="AB15" s="8"/>
      <c r="AC15" s="67"/>
      <c r="AD15" s="68" t="s">
        <v>92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2:54" ht="31.5">
      <c r="B16" s="7"/>
      <c r="C16" s="14">
        <f aca="true" t="shared" si="12" ref="C16:C34">C15+1</f>
        <v>3</v>
      </c>
      <c r="D16" s="70" t="s">
        <v>162</v>
      </c>
      <c r="E16" s="74" t="str">
        <f>IF('Себестоимость(тр.режим)'!D12=0,"-",'Себестоимость(тр.режим)'!D12)</f>
        <v>Погрузчик ТО-49 (шасси МТЗ-82, дв. Д-240) </v>
      </c>
      <c r="F16" s="14">
        <v>1</v>
      </c>
      <c r="G16" s="14">
        <v>4</v>
      </c>
      <c r="H16" s="14">
        <v>2.15</v>
      </c>
      <c r="I16" s="14">
        <v>1.3</v>
      </c>
      <c r="J16" s="16">
        <f t="shared" si="0"/>
        <v>614900</v>
      </c>
      <c r="K16" s="14">
        <v>1.25</v>
      </c>
      <c r="L16" s="16">
        <f t="shared" si="1"/>
        <v>153725</v>
      </c>
      <c r="M16" s="48">
        <v>1</v>
      </c>
      <c r="N16" s="16">
        <f t="shared" si="2"/>
        <v>0</v>
      </c>
      <c r="O16" s="16">
        <f t="shared" si="3"/>
        <v>768630</v>
      </c>
      <c r="P16" s="16">
        <f t="shared" si="4"/>
        <v>9223560</v>
      </c>
      <c r="Q16" s="38">
        <v>0.2</v>
      </c>
      <c r="R16" s="16">
        <f t="shared" si="5"/>
        <v>1844712</v>
      </c>
      <c r="S16" s="38">
        <v>0</v>
      </c>
      <c r="T16" s="16">
        <f t="shared" si="6"/>
        <v>0</v>
      </c>
      <c r="U16" s="38">
        <v>0</v>
      </c>
      <c r="V16" s="16">
        <f t="shared" si="7"/>
        <v>0</v>
      </c>
      <c r="W16" s="38">
        <v>0</v>
      </c>
      <c r="X16" s="16">
        <f t="shared" si="8"/>
        <v>2037</v>
      </c>
      <c r="Y16" s="16">
        <f t="shared" si="9"/>
        <v>0</v>
      </c>
      <c r="Z16" s="16">
        <f t="shared" si="10"/>
        <v>11068272</v>
      </c>
      <c r="AA16" s="16">
        <f t="shared" si="11"/>
        <v>5432</v>
      </c>
      <c r="AB16" s="8"/>
      <c r="AC16" s="67"/>
      <c r="AD16" s="68" t="s">
        <v>108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2:54" ht="52.5">
      <c r="B17" s="7"/>
      <c r="C17" s="14">
        <f t="shared" si="12"/>
        <v>4</v>
      </c>
      <c r="D17" s="70" t="s">
        <v>162</v>
      </c>
      <c r="E17" s="74" t="str">
        <f>IF('Себестоимость(тр.режим)'!D13=0,"-",'Себестоимость(тр.режим)'!D13)</f>
        <v>Погрузчик-экскаватор JCB 3CX SITEMASTER GP (дв. JCB444T, JCB444T1, 68 kW)</v>
      </c>
      <c r="F17" s="14">
        <v>1</v>
      </c>
      <c r="G17" s="14">
        <v>4</v>
      </c>
      <c r="H17" s="14">
        <v>2.15</v>
      </c>
      <c r="I17" s="14">
        <v>1.3</v>
      </c>
      <c r="J17" s="16">
        <f t="shared" si="0"/>
        <v>614900</v>
      </c>
      <c r="K17" s="14">
        <v>1.25</v>
      </c>
      <c r="L17" s="16">
        <f t="shared" si="1"/>
        <v>153725</v>
      </c>
      <c r="M17" s="48">
        <v>1</v>
      </c>
      <c r="N17" s="16">
        <f t="shared" si="2"/>
        <v>0</v>
      </c>
      <c r="O17" s="16">
        <f t="shared" si="3"/>
        <v>768630</v>
      </c>
      <c r="P17" s="16">
        <f t="shared" si="4"/>
        <v>9223560</v>
      </c>
      <c r="Q17" s="38">
        <v>0.2</v>
      </c>
      <c r="R17" s="16">
        <f t="shared" si="5"/>
        <v>1844712</v>
      </c>
      <c r="S17" s="38">
        <v>0.15</v>
      </c>
      <c r="T17" s="16">
        <f t="shared" si="6"/>
        <v>1383534</v>
      </c>
      <c r="U17" s="38">
        <v>0</v>
      </c>
      <c r="V17" s="16">
        <f t="shared" si="7"/>
        <v>0</v>
      </c>
      <c r="W17" s="38">
        <v>0</v>
      </c>
      <c r="X17" s="16">
        <f t="shared" si="8"/>
        <v>2037</v>
      </c>
      <c r="Y17" s="16">
        <f t="shared" si="9"/>
        <v>0</v>
      </c>
      <c r="Z17" s="16">
        <f t="shared" si="10"/>
        <v>12451806</v>
      </c>
      <c r="AA17" s="16">
        <f t="shared" si="11"/>
        <v>6111</v>
      </c>
      <c r="AB17" s="8"/>
      <c r="AC17" s="67"/>
      <c r="AD17" s="68" t="s">
        <v>117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2:54" ht="52.5">
      <c r="B18" s="7"/>
      <c r="C18" s="14">
        <f t="shared" si="12"/>
        <v>5</v>
      </c>
      <c r="D18" s="70" t="s">
        <v>162</v>
      </c>
      <c r="E18" s="74" t="str">
        <f>IF('Себестоимость(тр.режим)'!D14=0,"-",'Себестоимость(тр.режим)'!D14)</f>
        <v>Погрузчик-экскаватор ПЭ-82 (шасси МТЗ-82П, дв. Д-243, Д-243-486)</v>
      </c>
      <c r="F18" s="14">
        <v>1</v>
      </c>
      <c r="G18" s="14">
        <v>4</v>
      </c>
      <c r="H18" s="14">
        <v>2.1</v>
      </c>
      <c r="I18" s="14">
        <v>1.3</v>
      </c>
      <c r="J18" s="16">
        <f t="shared" si="0"/>
        <v>600600.0000000001</v>
      </c>
      <c r="K18" s="14">
        <v>1.25</v>
      </c>
      <c r="L18" s="16">
        <f t="shared" si="1"/>
        <v>150150.00000000003</v>
      </c>
      <c r="M18" s="48">
        <v>1</v>
      </c>
      <c r="N18" s="16">
        <f t="shared" si="2"/>
        <v>0</v>
      </c>
      <c r="O18" s="16">
        <f t="shared" si="3"/>
        <v>750750</v>
      </c>
      <c r="P18" s="16">
        <f t="shared" si="4"/>
        <v>9009000</v>
      </c>
      <c r="Q18" s="38">
        <v>0.15</v>
      </c>
      <c r="R18" s="16">
        <f t="shared" si="5"/>
        <v>1351350</v>
      </c>
      <c r="S18" s="38">
        <v>0.05</v>
      </c>
      <c r="T18" s="16">
        <f t="shared" si="6"/>
        <v>450450</v>
      </c>
      <c r="U18" s="38">
        <v>0</v>
      </c>
      <c r="V18" s="16">
        <f t="shared" si="7"/>
        <v>0</v>
      </c>
      <c r="W18" s="38">
        <v>0</v>
      </c>
      <c r="X18" s="16">
        <f t="shared" si="8"/>
        <v>2037</v>
      </c>
      <c r="Y18" s="16">
        <f t="shared" si="9"/>
        <v>0</v>
      </c>
      <c r="Z18" s="16">
        <f t="shared" si="10"/>
        <v>10810800</v>
      </c>
      <c r="AA18" s="16">
        <f t="shared" si="11"/>
        <v>5306</v>
      </c>
      <c r="AB18" s="8"/>
      <c r="AC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2:54" ht="10.5">
      <c r="B19" s="7"/>
      <c r="C19" s="14">
        <f t="shared" si="12"/>
        <v>6</v>
      </c>
      <c r="D19" s="70"/>
      <c r="E19" s="74" t="str">
        <f>IF('Себестоимость(тр.режим)'!D15=0,"-",'Себестоимость(тр.режим)'!D15)</f>
        <v>-</v>
      </c>
      <c r="F19" s="42"/>
      <c r="G19" s="42"/>
      <c r="H19" s="14"/>
      <c r="I19" s="14"/>
      <c r="J19" s="16">
        <f t="shared" si="0"/>
        <v>0</v>
      </c>
      <c r="K19" s="14"/>
      <c r="L19" s="16">
        <f t="shared" si="1"/>
        <v>0</v>
      </c>
      <c r="M19" s="48"/>
      <c r="N19" s="16">
        <f t="shared" si="2"/>
        <v>0</v>
      </c>
      <c r="O19" s="16">
        <f t="shared" si="3"/>
        <v>0</v>
      </c>
      <c r="P19" s="16">
        <f t="shared" si="4"/>
        <v>0</v>
      </c>
      <c r="Q19" s="38"/>
      <c r="R19" s="16">
        <f t="shared" si="5"/>
        <v>0</v>
      </c>
      <c r="S19" s="38"/>
      <c r="T19" s="16">
        <f t="shared" si="6"/>
        <v>0</v>
      </c>
      <c r="U19" s="38"/>
      <c r="V19" s="16">
        <f t="shared" si="7"/>
        <v>0</v>
      </c>
      <c r="W19" s="38"/>
      <c r="X19" s="16">
        <f t="shared" si="8"/>
        <v>2037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8"/>
      <c r="AC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0.5">
      <c r="B20" s="7"/>
      <c r="C20" s="14">
        <f t="shared" si="12"/>
        <v>7</v>
      </c>
      <c r="D20" s="70"/>
      <c r="E20" s="74" t="str">
        <f>IF('Себестоимость(тр.режим)'!D16=0,"-",'Себестоимость(тр.режим)'!D16)</f>
        <v>-</v>
      </c>
      <c r="F20" s="42"/>
      <c r="G20" s="42"/>
      <c r="H20" s="14"/>
      <c r="I20" s="14"/>
      <c r="J20" s="16">
        <f t="shared" si="0"/>
        <v>0</v>
      </c>
      <c r="K20" s="14"/>
      <c r="L20" s="16">
        <f t="shared" si="1"/>
        <v>0</v>
      </c>
      <c r="M20" s="48"/>
      <c r="N20" s="16">
        <f t="shared" si="2"/>
        <v>0</v>
      </c>
      <c r="O20" s="16">
        <f t="shared" si="3"/>
        <v>0</v>
      </c>
      <c r="P20" s="16">
        <f t="shared" si="4"/>
        <v>0</v>
      </c>
      <c r="Q20" s="38"/>
      <c r="R20" s="16">
        <f t="shared" si="5"/>
        <v>0</v>
      </c>
      <c r="S20" s="38"/>
      <c r="T20" s="16">
        <f t="shared" si="6"/>
        <v>0</v>
      </c>
      <c r="U20" s="38"/>
      <c r="V20" s="16">
        <f t="shared" si="7"/>
        <v>0</v>
      </c>
      <c r="W20" s="38"/>
      <c r="X20" s="16">
        <f t="shared" si="8"/>
        <v>2037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8"/>
      <c r="AC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2:54" ht="10.5">
      <c r="B21" s="7"/>
      <c r="C21" s="14">
        <f t="shared" si="12"/>
        <v>8</v>
      </c>
      <c r="D21" s="70"/>
      <c r="E21" s="74" t="str">
        <f>IF('Себестоимость(тр.режим)'!D17=0,"-",'Себестоимость(тр.режим)'!D17)</f>
        <v>-</v>
      </c>
      <c r="F21" s="40"/>
      <c r="G21" s="40"/>
      <c r="H21" s="40"/>
      <c r="I21" s="40"/>
      <c r="J21" s="16">
        <f t="shared" si="0"/>
        <v>0</v>
      </c>
      <c r="K21" s="40"/>
      <c r="L21" s="16">
        <f t="shared" si="1"/>
        <v>0</v>
      </c>
      <c r="M21" s="40"/>
      <c r="N21" s="16">
        <f t="shared" si="2"/>
        <v>0</v>
      </c>
      <c r="O21" s="16">
        <f t="shared" si="3"/>
        <v>0</v>
      </c>
      <c r="P21" s="16">
        <f t="shared" si="4"/>
        <v>0</v>
      </c>
      <c r="Q21" s="38"/>
      <c r="R21" s="16">
        <f t="shared" si="5"/>
        <v>0</v>
      </c>
      <c r="S21" s="38"/>
      <c r="T21" s="16">
        <f t="shared" si="6"/>
        <v>0</v>
      </c>
      <c r="U21" s="38"/>
      <c r="V21" s="16">
        <f t="shared" si="7"/>
        <v>0</v>
      </c>
      <c r="W21" s="38"/>
      <c r="X21" s="16">
        <f t="shared" si="8"/>
        <v>2037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8"/>
      <c r="AC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2:54" ht="10.5">
      <c r="B22" s="7"/>
      <c r="C22" s="14">
        <f t="shared" si="12"/>
        <v>9</v>
      </c>
      <c r="D22" s="70"/>
      <c r="E22" s="74" t="str">
        <f>IF('Себестоимость(тр.режим)'!D18=0,"-",'Себестоимость(тр.режим)'!D18)</f>
        <v>-</v>
      </c>
      <c r="F22" s="40"/>
      <c r="G22" s="40"/>
      <c r="H22" s="40"/>
      <c r="I22" s="40"/>
      <c r="J22" s="16">
        <f t="shared" si="0"/>
        <v>0</v>
      </c>
      <c r="K22" s="40"/>
      <c r="L22" s="16">
        <f t="shared" si="1"/>
        <v>0</v>
      </c>
      <c r="M22" s="40"/>
      <c r="N22" s="16">
        <f t="shared" si="2"/>
        <v>0</v>
      </c>
      <c r="O22" s="16">
        <f t="shared" si="3"/>
        <v>0</v>
      </c>
      <c r="P22" s="16">
        <f t="shared" si="4"/>
        <v>0</v>
      </c>
      <c r="Q22" s="38"/>
      <c r="R22" s="16">
        <f t="shared" si="5"/>
        <v>0</v>
      </c>
      <c r="S22" s="38"/>
      <c r="T22" s="16">
        <f t="shared" si="6"/>
        <v>0</v>
      </c>
      <c r="U22" s="38"/>
      <c r="V22" s="16">
        <f t="shared" si="7"/>
        <v>0</v>
      </c>
      <c r="W22" s="38"/>
      <c r="X22" s="16">
        <f t="shared" si="8"/>
        <v>2037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8"/>
      <c r="AC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2:54" ht="10.5">
      <c r="B23" s="7"/>
      <c r="C23" s="14">
        <f t="shared" si="12"/>
        <v>10</v>
      </c>
      <c r="D23" s="70"/>
      <c r="E23" s="74" t="str">
        <f>IF('Себестоимость(тр.режим)'!D19=0,"-",'Себестоимость(тр.режим)'!D19)</f>
        <v>-</v>
      </c>
      <c r="F23" s="40"/>
      <c r="G23" s="40"/>
      <c r="H23" s="40"/>
      <c r="I23" s="40"/>
      <c r="J23" s="16">
        <f t="shared" si="0"/>
        <v>0</v>
      </c>
      <c r="K23" s="40"/>
      <c r="L23" s="16">
        <f t="shared" si="1"/>
        <v>0</v>
      </c>
      <c r="M23" s="40"/>
      <c r="N23" s="16">
        <f t="shared" si="2"/>
        <v>0</v>
      </c>
      <c r="O23" s="16">
        <f t="shared" si="3"/>
        <v>0</v>
      </c>
      <c r="P23" s="16">
        <f t="shared" si="4"/>
        <v>0</v>
      </c>
      <c r="Q23" s="38"/>
      <c r="R23" s="16">
        <f t="shared" si="5"/>
        <v>0</v>
      </c>
      <c r="S23" s="38"/>
      <c r="T23" s="16">
        <f t="shared" si="6"/>
        <v>0</v>
      </c>
      <c r="U23" s="38"/>
      <c r="V23" s="16">
        <f t="shared" si="7"/>
        <v>0</v>
      </c>
      <c r="W23" s="38"/>
      <c r="X23" s="16">
        <f t="shared" si="8"/>
        <v>2037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8"/>
      <c r="AC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2:54" ht="10.5">
      <c r="B24" s="7"/>
      <c r="C24" s="14">
        <f t="shared" si="12"/>
        <v>11</v>
      </c>
      <c r="D24" s="70"/>
      <c r="E24" s="74" t="str">
        <f>IF('Себестоимость(тр.режим)'!D20=0,"-",'Себестоимость(тр.режим)'!D20)</f>
        <v>-</v>
      </c>
      <c r="F24" s="40"/>
      <c r="G24" s="40"/>
      <c r="H24" s="40"/>
      <c r="I24" s="40"/>
      <c r="J24" s="16">
        <f t="shared" si="0"/>
        <v>0</v>
      </c>
      <c r="K24" s="40"/>
      <c r="L24" s="16">
        <f t="shared" si="1"/>
        <v>0</v>
      </c>
      <c r="M24" s="40"/>
      <c r="N24" s="16">
        <f t="shared" si="2"/>
        <v>0</v>
      </c>
      <c r="O24" s="16">
        <f t="shared" si="3"/>
        <v>0</v>
      </c>
      <c r="P24" s="16">
        <f t="shared" si="4"/>
        <v>0</v>
      </c>
      <c r="Q24" s="38"/>
      <c r="R24" s="16">
        <f t="shared" si="5"/>
        <v>0</v>
      </c>
      <c r="S24" s="38"/>
      <c r="T24" s="16">
        <f t="shared" si="6"/>
        <v>0</v>
      </c>
      <c r="U24" s="38"/>
      <c r="V24" s="16">
        <f t="shared" si="7"/>
        <v>0</v>
      </c>
      <c r="W24" s="38"/>
      <c r="X24" s="16">
        <f t="shared" si="8"/>
        <v>2037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8"/>
      <c r="AC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2:54" ht="10.5">
      <c r="B25" s="7"/>
      <c r="C25" s="14">
        <f t="shared" si="12"/>
        <v>12</v>
      </c>
      <c r="D25" s="70"/>
      <c r="E25" s="74" t="str">
        <f>IF('Себестоимость(тр.режим)'!D21=0,"-",'Себестоимость(тр.режим)'!D21)</f>
        <v>-</v>
      </c>
      <c r="F25" s="40"/>
      <c r="G25" s="40"/>
      <c r="H25" s="40"/>
      <c r="I25" s="40"/>
      <c r="J25" s="16">
        <f t="shared" si="0"/>
        <v>0</v>
      </c>
      <c r="K25" s="40"/>
      <c r="L25" s="16">
        <f t="shared" si="1"/>
        <v>0</v>
      </c>
      <c r="M25" s="40"/>
      <c r="N25" s="16">
        <f t="shared" si="2"/>
        <v>0</v>
      </c>
      <c r="O25" s="16">
        <f t="shared" si="3"/>
        <v>0</v>
      </c>
      <c r="P25" s="16">
        <f t="shared" si="4"/>
        <v>0</v>
      </c>
      <c r="Q25" s="38"/>
      <c r="R25" s="16">
        <f t="shared" si="5"/>
        <v>0</v>
      </c>
      <c r="S25" s="38"/>
      <c r="T25" s="16">
        <f t="shared" si="6"/>
        <v>0</v>
      </c>
      <c r="U25" s="38"/>
      <c r="V25" s="16">
        <f t="shared" si="7"/>
        <v>0</v>
      </c>
      <c r="W25" s="38"/>
      <c r="X25" s="16">
        <f t="shared" si="8"/>
        <v>2037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8"/>
      <c r="AC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2:54" ht="10.5">
      <c r="B26" s="7"/>
      <c r="C26" s="14">
        <f t="shared" si="12"/>
        <v>13</v>
      </c>
      <c r="D26" s="70"/>
      <c r="E26" s="74" t="str">
        <f>IF('Себестоимость(тр.режим)'!D22=0,"-",'Себестоимость(тр.режим)'!D22)</f>
        <v>-</v>
      </c>
      <c r="F26" s="40"/>
      <c r="G26" s="40"/>
      <c r="H26" s="40"/>
      <c r="I26" s="40"/>
      <c r="J26" s="16">
        <f t="shared" si="0"/>
        <v>0</v>
      </c>
      <c r="K26" s="40"/>
      <c r="L26" s="16">
        <f t="shared" si="1"/>
        <v>0</v>
      </c>
      <c r="M26" s="40"/>
      <c r="N26" s="16">
        <f t="shared" si="2"/>
        <v>0</v>
      </c>
      <c r="O26" s="16">
        <f t="shared" si="3"/>
        <v>0</v>
      </c>
      <c r="P26" s="16">
        <f t="shared" si="4"/>
        <v>0</v>
      </c>
      <c r="Q26" s="38"/>
      <c r="R26" s="16">
        <f t="shared" si="5"/>
        <v>0</v>
      </c>
      <c r="S26" s="38"/>
      <c r="T26" s="16">
        <f t="shared" si="6"/>
        <v>0</v>
      </c>
      <c r="U26" s="38"/>
      <c r="V26" s="16">
        <f t="shared" si="7"/>
        <v>0</v>
      </c>
      <c r="W26" s="38"/>
      <c r="X26" s="16">
        <f t="shared" si="8"/>
        <v>2037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8"/>
      <c r="AC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2:54" ht="10.5">
      <c r="B27" s="7"/>
      <c r="C27" s="14">
        <f t="shared" si="12"/>
        <v>14</v>
      </c>
      <c r="D27" s="70"/>
      <c r="E27" s="74" t="str">
        <f>IF('Себестоимость(тр.режим)'!D23=0,"-",'Себестоимость(тр.режим)'!D23)</f>
        <v>-</v>
      </c>
      <c r="F27" s="40"/>
      <c r="G27" s="40"/>
      <c r="H27" s="40"/>
      <c r="I27" s="40"/>
      <c r="J27" s="16">
        <f t="shared" si="0"/>
        <v>0</v>
      </c>
      <c r="K27" s="40"/>
      <c r="L27" s="16">
        <f t="shared" si="1"/>
        <v>0</v>
      </c>
      <c r="M27" s="40"/>
      <c r="N27" s="16">
        <f t="shared" si="2"/>
        <v>0</v>
      </c>
      <c r="O27" s="16">
        <f t="shared" si="3"/>
        <v>0</v>
      </c>
      <c r="P27" s="16">
        <f t="shared" si="4"/>
        <v>0</v>
      </c>
      <c r="Q27" s="38"/>
      <c r="R27" s="16">
        <f t="shared" si="5"/>
        <v>0</v>
      </c>
      <c r="S27" s="38"/>
      <c r="T27" s="16">
        <f t="shared" si="6"/>
        <v>0</v>
      </c>
      <c r="U27" s="38"/>
      <c r="V27" s="16">
        <f t="shared" si="7"/>
        <v>0</v>
      </c>
      <c r="W27" s="38"/>
      <c r="X27" s="16">
        <f t="shared" si="8"/>
        <v>2037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8"/>
      <c r="AC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</row>
    <row r="28" spans="2:54" ht="10.5">
      <c r="B28" s="7"/>
      <c r="C28" s="14">
        <f t="shared" si="12"/>
        <v>15</v>
      </c>
      <c r="D28" s="70"/>
      <c r="E28" s="74" t="str">
        <f>IF('Себестоимость(тр.режим)'!D24=0,"-",'Себестоимость(тр.режим)'!D24)</f>
        <v>-</v>
      </c>
      <c r="F28" s="40"/>
      <c r="G28" s="40"/>
      <c r="H28" s="40"/>
      <c r="I28" s="40"/>
      <c r="J28" s="16">
        <f t="shared" si="0"/>
        <v>0</v>
      </c>
      <c r="K28" s="40"/>
      <c r="L28" s="16">
        <f t="shared" si="1"/>
        <v>0</v>
      </c>
      <c r="M28" s="40"/>
      <c r="N28" s="16">
        <f t="shared" si="2"/>
        <v>0</v>
      </c>
      <c r="O28" s="16">
        <f t="shared" si="3"/>
        <v>0</v>
      </c>
      <c r="P28" s="16">
        <f t="shared" si="4"/>
        <v>0</v>
      </c>
      <c r="Q28" s="38"/>
      <c r="R28" s="16">
        <f t="shared" si="5"/>
        <v>0</v>
      </c>
      <c r="S28" s="38"/>
      <c r="T28" s="16">
        <f t="shared" si="6"/>
        <v>0</v>
      </c>
      <c r="U28" s="38"/>
      <c r="V28" s="16">
        <f t="shared" si="7"/>
        <v>0</v>
      </c>
      <c r="W28" s="38"/>
      <c r="X28" s="16">
        <f t="shared" si="8"/>
        <v>2037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8"/>
      <c r="AC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2:54" ht="10.5">
      <c r="B29" s="7"/>
      <c r="C29" s="14">
        <f t="shared" si="12"/>
        <v>16</v>
      </c>
      <c r="D29" s="70"/>
      <c r="E29" s="74" t="str">
        <f>IF('Себестоимость(тр.режим)'!D25=0,"-",'Себестоимость(тр.режим)'!D25)</f>
        <v>-</v>
      </c>
      <c r="F29" s="40"/>
      <c r="G29" s="40"/>
      <c r="H29" s="40"/>
      <c r="I29" s="40"/>
      <c r="J29" s="16">
        <f t="shared" si="0"/>
        <v>0</v>
      </c>
      <c r="K29" s="40"/>
      <c r="L29" s="16">
        <f t="shared" si="1"/>
        <v>0</v>
      </c>
      <c r="M29" s="40"/>
      <c r="N29" s="16">
        <f t="shared" si="2"/>
        <v>0</v>
      </c>
      <c r="O29" s="16">
        <f t="shared" si="3"/>
        <v>0</v>
      </c>
      <c r="P29" s="16">
        <f t="shared" si="4"/>
        <v>0</v>
      </c>
      <c r="Q29" s="38"/>
      <c r="R29" s="16">
        <f t="shared" si="5"/>
        <v>0</v>
      </c>
      <c r="S29" s="38"/>
      <c r="T29" s="16">
        <f t="shared" si="6"/>
        <v>0</v>
      </c>
      <c r="U29" s="38"/>
      <c r="V29" s="16">
        <f t="shared" si="7"/>
        <v>0</v>
      </c>
      <c r="W29" s="38"/>
      <c r="X29" s="16">
        <f t="shared" si="8"/>
        <v>2037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8"/>
      <c r="AC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2:54" ht="10.5">
      <c r="B30" s="7"/>
      <c r="C30" s="14">
        <f t="shared" si="12"/>
        <v>17</v>
      </c>
      <c r="D30" s="70"/>
      <c r="E30" s="74" t="str">
        <f>IF('Себестоимость(тр.режим)'!D26=0,"-",'Себестоимость(тр.режим)'!D26)</f>
        <v>-</v>
      </c>
      <c r="F30" s="40"/>
      <c r="G30" s="40"/>
      <c r="H30" s="40"/>
      <c r="I30" s="40"/>
      <c r="J30" s="16">
        <f t="shared" si="0"/>
        <v>0</v>
      </c>
      <c r="K30" s="40"/>
      <c r="L30" s="16">
        <f t="shared" si="1"/>
        <v>0</v>
      </c>
      <c r="M30" s="40"/>
      <c r="N30" s="16">
        <f t="shared" si="2"/>
        <v>0</v>
      </c>
      <c r="O30" s="16">
        <f t="shared" si="3"/>
        <v>0</v>
      </c>
      <c r="P30" s="16">
        <f t="shared" si="4"/>
        <v>0</v>
      </c>
      <c r="Q30" s="38"/>
      <c r="R30" s="16">
        <f t="shared" si="5"/>
        <v>0</v>
      </c>
      <c r="S30" s="38"/>
      <c r="T30" s="16">
        <f t="shared" si="6"/>
        <v>0</v>
      </c>
      <c r="U30" s="38"/>
      <c r="V30" s="16">
        <f t="shared" si="7"/>
        <v>0</v>
      </c>
      <c r="W30" s="38"/>
      <c r="X30" s="16">
        <f t="shared" si="8"/>
        <v>2037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8"/>
      <c r="AC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2:54" ht="10.5">
      <c r="B31" s="7"/>
      <c r="C31" s="14">
        <f t="shared" si="12"/>
        <v>18</v>
      </c>
      <c r="D31" s="70"/>
      <c r="E31" s="74" t="str">
        <f>IF('Себестоимость(тр.режим)'!D27=0,"-",'Себестоимость(тр.режим)'!D27)</f>
        <v>-</v>
      </c>
      <c r="F31" s="40"/>
      <c r="G31" s="40"/>
      <c r="H31" s="40"/>
      <c r="I31" s="40"/>
      <c r="J31" s="16">
        <f t="shared" si="0"/>
        <v>0</v>
      </c>
      <c r="K31" s="40"/>
      <c r="L31" s="16">
        <f t="shared" si="1"/>
        <v>0</v>
      </c>
      <c r="M31" s="40"/>
      <c r="N31" s="16">
        <f t="shared" si="2"/>
        <v>0</v>
      </c>
      <c r="O31" s="16">
        <f t="shared" si="3"/>
        <v>0</v>
      </c>
      <c r="P31" s="16">
        <f t="shared" si="4"/>
        <v>0</v>
      </c>
      <c r="Q31" s="38"/>
      <c r="R31" s="16">
        <f t="shared" si="5"/>
        <v>0</v>
      </c>
      <c r="S31" s="38"/>
      <c r="T31" s="16">
        <f t="shared" si="6"/>
        <v>0</v>
      </c>
      <c r="U31" s="38"/>
      <c r="V31" s="16">
        <f t="shared" si="7"/>
        <v>0</v>
      </c>
      <c r="W31" s="38"/>
      <c r="X31" s="16">
        <f t="shared" si="8"/>
        <v>2037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8"/>
      <c r="AC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2:54" ht="10.5">
      <c r="B32" s="7"/>
      <c r="C32" s="14">
        <f t="shared" si="12"/>
        <v>19</v>
      </c>
      <c r="D32" s="70"/>
      <c r="E32" s="74" t="str">
        <f>IF('Себестоимость(тр.режим)'!D28=0,"-",'Себестоимость(тр.режим)'!D28)</f>
        <v>-</v>
      </c>
      <c r="F32" s="40"/>
      <c r="G32" s="40"/>
      <c r="H32" s="40"/>
      <c r="I32" s="40"/>
      <c r="J32" s="16">
        <f t="shared" si="0"/>
        <v>0</v>
      </c>
      <c r="K32" s="40"/>
      <c r="L32" s="16">
        <f t="shared" si="1"/>
        <v>0</v>
      </c>
      <c r="M32" s="40"/>
      <c r="N32" s="16">
        <f t="shared" si="2"/>
        <v>0</v>
      </c>
      <c r="O32" s="16">
        <f t="shared" si="3"/>
        <v>0</v>
      </c>
      <c r="P32" s="16">
        <f t="shared" si="4"/>
        <v>0</v>
      </c>
      <c r="Q32" s="38"/>
      <c r="R32" s="16">
        <f t="shared" si="5"/>
        <v>0</v>
      </c>
      <c r="S32" s="38"/>
      <c r="T32" s="16">
        <f t="shared" si="6"/>
        <v>0</v>
      </c>
      <c r="U32" s="38"/>
      <c r="V32" s="16">
        <f t="shared" si="7"/>
        <v>0</v>
      </c>
      <c r="W32" s="38"/>
      <c r="X32" s="16">
        <f t="shared" si="8"/>
        <v>2037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8"/>
      <c r="AC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2:54" ht="10.5">
      <c r="B33" s="7"/>
      <c r="C33" s="14">
        <f t="shared" si="12"/>
        <v>20</v>
      </c>
      <c r="D33" s="70"/>
      <c r="E33" s="74" t="str">
        <f>IF('Себестоимость(тр.режим)'!D29=0,"-",'Себестоимость(тр.режим)'!D29)</f>
        <v>-</v>
      </c>
      <c r="F33" s="40"/>
      <c r="G33" s="40"/>
      <c r="H33" s="40"/>
      <c r="I33" s="40"/>
      <c r="J33" s="16">
        <f t="shared" si="0"/>
        <v>0</v>
      </c>
      <c r="K33" s="40"/>
      <c r="L33" s="16">
        <f t="shared" si="1"/>
        <v>0</v>
      </c>
      <c r="M33" s="40"/>
      <c r="N33" s="16">
        <f t="shared" si="2"/>
        <v>0</v>
      </c>
      <c r="O33" s="16">
        <f t="shared" si="3"/>
        <v>0</v>
      </c>
      <c r="P33" s="16">
        <f t="shared" si="4"/>
        <v>0</v>
      </c>
      <c r="Q33" s="38"/>
      <c r="R33" s="16">
        <f t="shared" si="5"/>
        <v>0</v>
      </c>
      <c r="S33" s="38"/>
      <c r="T33" s="16">
        <f t="shared" si="6"/>
        <v>0</v>
      </c>
      <c r="U33" s="38"/>
      <c r="V33" s="16">
        <f t="shared" si="7"/>
        <v>0</v>
      </c>
      <c r="W33" s="38"/>
      <c r="X33" s="16">
        <f t="shared" si="8"/>
        <v>2037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8"/>
      <c r="AC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2:54" ht="10.5">
      <c r="B34" s="7"/>
      <c r="C34" s="14">
        <f t="shared" si="12"/>
        <v>21</v>
      </c>
      <c r="D34" s="70"/>
      <c r="E34" s="74" t="str">
        <f>IF('Себестоимость(тр.режим)'!D30=0,"-",'Себестоимость(тр.режим)'!D30)</f>
        <v>-</v>
      </c>
      <c r="F34" s="40"/>
      <c r="G34" s="40"/>
      <c r="H34" s="40"/>
      <c r="I34" s="40"/>
      <c r="J34" s="16">
        <f t="shared" si="0"/>
        <v>0</v>
      </c>
      <c r="K34" s="40"/>
      <c r="L34" s="16">
        <f t="shared" si="1"/>
        <v>0</v>
      </c>
      <c r="M34" s="40"/>
      <c r="N34" s="16">
        <f t="shared" si="2"/>
        <v>0</v>
      </c>
      <c r="O34" s="16">
        <f t="shared" si="3"/>
        <v>0</v>
      </c>
      <c r="P34" s="16">
        <f t="shared" si="4"/>
        <v>0</v>
      </c>
      <c r="Q34" s="38"/>
      <c r="R34" s="16">
        <f t="shared" si="5"/>
        <v>0</v>
      </c>
      <c r="S34" s="38"/>
      <c r="T34" s="16">
        <f t="shared" si="6"/>
        <v>0</v>
      </c>
      <c r="U34" s="38"/>
      <c r="V34" s="16">
        <f t="shared" si="7"/>
        <v>0</v>
      </c>
      <c r="W34" s="38"/>
      <c r="X34" s="16">
        <f t="shared" si="8"/>
        <v>2037</v>
      </c>
      <c r="Y34" s="16">
        <f>$H$10*W34*X34*F34</f>
        <v>0</v>
      </c>
      <c r="Z34" s="16">
        <f t="shared" si="10"/>
        <v>0</v>
      </c>
      <c r="AA34" s="16">
        <f t="shared" si="11"/>
        <v>0</v>
      </c>
      <c r="AB34" s="8"/>
      <c r="AC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2:54" ht="10.5"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  <c r="AA35" s="11"/>
      <c r="AB35" s="8"/>
      <c r="AC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</row>
    <row r="36" spans="2:67" ht="11.25" thickBo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</row>
    <row r="37" spans="55:67" ht="10.5">
      <c r="BC37" s="29"/>
      <c r="BD37" s="29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</row>
    <row r="38" spans="31:67" ht="10.5">
      <c r="AE38" s="24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30"/>
      <c r="BA38" s="30"/>
      <c r="BB38" s="30"/>
      <c r="BC38" s="30"/>
      <c r="BD38" s="30"/>
      <c r="BE38" s="30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3:67" ht="10.5">
      <c r="C39" s="31"/>
      <c r="D39" s="31"/>
      <c r="AD39" s="23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3:67" ht="10.5">
      <c r="C40" s="31"/>
      <c r="D40" s="31"/>
      <c r="AE40" s="28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3:67" ht="10.5">
      <c r="C41" s="31"/>
      <c r="D41" s="31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3:67" ht="10.5">
      <c r="C42" s="31"/>
      <c r="D42" s="31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30"/>
      <c r="BA42" s="30"/>
      <c r="BB42" s="30"/>
      <c r="BC42" s="30"/>
      <c r="BD42" s="30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3:67" ht="10.5">
      <c r="C43" s="31"/>
      <c r="D43" s="31"/>
      <c r="AE43" s="28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30"/>
      <c r="BA43" s="30"/>
      <c r="BB43" s="30"/>
      <c r="BC43" s="30"/>
      <c r="BD43" s="30"/>
      <c r="BE43" s="30"/>
      <c r="BF43" s="29"/>
      <c r="BG43" s="29"/>
      <c r="BH43" s="29"/>
      <c r="BI43" s="29"/>
      <c r="BJ43" s="29"/>
      <c r="BK43" s="29"/>
      <c r="BL43" s="29"/>
      <c r="BM43" s="29"/>
      <c r="BN43" s="29"/>
      <c r="BO43" s="29"/>
    </row>
    <row r="44" spans="3:67" ht="10.5">
      <c r="C44" s="31"/>
      <c r="D44" s="31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30"/>
      <c r="BA44" s="30"/>
      <c r="BB44" s="30"/>
      <c r="BC44" s="30"/>
      <c r="BD44" s="30"/>
      <c r="BE44" s="30"/>
      <c r="BF44" s="29"/>
      <c r="BG44" s="29"/>
      <c r="BH44" s="29"/>
      <c r="BI44" s="29"/>
      <c r="BJ44" s="29"/>
      <c r="BK44" s="29"/>
      <c r="BL44" s="29"/>
      <c r="BM44" s="29"/>
      <c r="BN44" s="29"/>
      <c r="BO44" s="29"/>
    </row>
    <row r="45" spans="3:67" ht="10.5">
      <c r="C45" s="31"/>
      <c r="D45" s="31"/>
      <c r="AE45" s="28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</row>
    <row r="46" spans="3:67" ht="10.5">
      <c r="C46" s="31"/>
      <c r="D46" s="31"/>
      <c r="AE46" s="28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</row>
    <row r="47" spans="3:67" ht="10.5">
      <c r="C47" s="31"/>
      <c r="D47" s="31"/>
      <c r="AE47" s="28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</row>
    <row r="48" spans="3:67" ht="10.5">
      <c r="C48" s="31"/>
      <c r="D48" s="31"/>
      <c r="AE48" s="28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</row>
    <row r="49" spans="3:67" ht="10.5">
      <c r="C49" s="31"/>
      <c r="D49" s="31"/>
      <c r="AE49" s="28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</row>
    <row r="50" spans="3:67" ht="10.5">
      <c r="C50" s="31"/>
      <c r="D50" s="31"/>
      <c r="AE50" s="28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</row>
    <row r="51" spans="3:4" ht="10.5">
      <c r="C51" s="31"/>
      <c r="D51" s="31"/>
    </row>
  </sheetData>
  <sheetProtection/>
  <mergeCells count="25">
    <mergeCell ref="Z12:Z13"/>
    <mergeCell ref="K12:L12"/>
    <mergeCell ref="M12:N12"/>
    <mergeCell ref="O12:O13"/>
    <mergeCell ref="P12:P13"/>
    <mergeCell ref="Q12:R12"/>
    <mergeCell ref="S12:T12"/>
    <mergeCell ref="C7:F7"/>
    <mergeCell ref="U12:V12"/>
    <mergeCell ref="C8:F8"/>
    <mergeCell ref="C4:AA4"/>
    <mergeCell ref="C5:AA5"/>
    <mergeCell ref="C6:AA6"/>
    <mergeCell ref="C12:C13"/>
    <mergeCell ref="D12:D13"/>
    <mergeCell ref="W12:Y12"/>
    <mergeCell ref="AA12:AA13"/>
    <mergeCell ref="J12:J13"/>
    <mergeCell ref="C10:F10"/>
    <mergeCell ref="G12:G13"/>
    <mergeCell ref="C9:F9"/>
    <mergeCell ref="E12:E13"/>
    <mergeCell ref="F12:F13"/>
    <mergeCell ref="H12:H13"/>
    <mergeCell ref="I12:I13"/>
  </mergeCells>
  <hyperlinks>
    <hyperlink ref="AD5" location="'Калькуляция (тр.режим)'!A1" display="Калькуляция стоимости 1 машино-часа (транспортный режим)"/>
    <hyperlink ref="AD6" location="'Калькуляция(экскавация)'!A1" display="Калькуляция стоимости 1 машино-часа (транспортный режим)"/>
    <hyperlink ref="AD7" location="'Калькуляция(погрузка)'!A1" display="Калькуляция стоимости 1 машино-часа (погрузка)"/>
    <hyperlink ref="AD8" location="'Себестоимость(тр.режим)'!A1" display="Расчет производственной себестоимости 1 машино-часа (транспортный режим)"/>
    <hyperlink ref="AD9" location="'Себестоимость(экскавация)'!A1" display="Расчет производственной себестоимости 1 машино-часа (экскавация)"/>
    <hyperlink ref="AD10" location="'Себестоимость(погрузка)'!A1" display="Расчет производственной себестоимости 1 машино-часа (погрузка)"/>
    <hyperlink ref="AD11" location="ГСМ!A1" display="Расчет затрат на топливо (ГСМ)"/>
    <hyperlink ref="AD12" location="СМ!A1" display="Расчет затрат на смазочные материалы (СМ)"/>
    <hyperlink ref="AD13" location="ЗП!A1" display="Расчет затрат на заработную плату водителей "/>
    <hyperlink ref="AD14" location="амортизация!A1" display="Расчет амортизационных отчислений"/>
    <hyperlink ref="AD15" location="'расчет % ОПР'!A1" display="Расчет процента общепроизводственных расходов"/>
    <hyperlink ref="AD16" location="'расчет % ОХР'!A1" display="Расчет процента общехозяйственных расходов"/>
    <hyperlink ref="AD17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8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u-jeenn</dc:creator>
  <cp:keywords/>
  <dc:description/>
  <cp:lastModifiedBy>Козарез Алексей</cp:lastModifiedBy>
  <cp:lastPrinted>2010-09-27T22:48:02Z</cp:lastPrinted>
  <dcterms:created xsi:type="dcterms:W3CDTF">2010-09-19T09:30:36Z</dcterms:created>
  <dcterms:modified xsi:type="dcterms:W3CDTF">2021-03-17T10:22:38Z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