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913" activeTab="1"/>
  </bookViews>
  <sheets>
    <sheet name="Т1" sheetId="1" r:id="rId1"/>
    <sheet name="Т2" sheetId="2" r:id="rId2"/>
    <sheet name="Т3" sheetId="3" r:id="rId3"/>
    <sheet name="Т4" sheetId="4" r:id="rId4"/>
    <sheet name="Т5" sheetId="5" r:id="rId5"/>
    <sheet name="Т6" sheetId="6" r:id="rId6"/>
    <sheet name="Т7" sheetId="7" r:id="rId7"/>
    <sheet name="Т8" sheetId="8" r:id="rId8"/>
    <sheet name="Т9" sheetId="9" r:id="rId9"/>
    <sheet name="Т10" sheetId="10" r:id="rId10"/>
    <sheet name="Т11" sheetId="11" r:id="rId11"/>
    <sheet name="Т12" sheetId="12" r:id="rId12"/>
    <sheet name="Т13" sheetId="13" r:id="rId13"/>
    <sheet name="Т14" sheetId="14" r:id="rId14"/>
    <sheet name="Т15" sheetId="15" r:id="rId15"/>
    <sheet name="Т16" sheetId="16" r:id="rId16"/>
    <sheet name="Т17" sheetId="17" r:id="rId17"/>
    <sheet name="Т18" sheetId="18" r:id="rId18"/>
    <sheet name="Т19" sheetId="19" r:id="rId19"/>
    <sheet name="Т20" sheetId="20" r:id="rId20"/>
    <sheet name="Т21" sheetId="21" r:id="rId21"/>
  </sheets>
  <definedNames>
    <definedName name="_xlnm.Print_Area" localSheetId="0">'Т1'!$B$2:$K$18</definedName>
    <definedName name="_xlnm.Print_Area" localSheetId="9">'Т10'!$B$2:$H$12</definedName>
    <definedName name="_xlnm.Print_Area" localSheetId="10">'Т11'!$B$2:$H$9</definedName>
    <definedName name="_xlnm.Print_Area" localSheetId="11">'Т12'!$B$2:$H$19</definedName>
    <definedName name="_xlnm.Print_Area" localSheetId="12">'Т13'!$B$2:$G$15</definedName>
    <definedName name="_xlnm.Print_Area" localSheetId="13">'Т14'!$B$2:$I$10</definedName>
    <definedName name="_xlnm.Print_Area" localSheetId="14">'Т15'!$B$2:$H$15</definedName>
    <definedName name="_xlnm.Print_Area" localSheetId="15">'Т16'!$B$2:$F$15</definedName>
    <definedName name="_xlnm.Print_Area" localSheetId="16">'Т17'!$B$2:$F$15</definedName>
    <definedName name="_xlnm.Print_Area" localSheetId="17">'Т18'!$B$2:$H$11</definedName>
    <definedName name="_xlnm.Print_Area" localSheetId="18">'Т19'!$B$2:$F$11</definedName>
    <definedName name="_xlnm.Print_Area" localSheetId="1">'Т2'!$B$2:$K$28</definedName>
    <definedName name="_xlnm.Print_Area" localSheetId="19">'Т20'!$B$2:$F$11</definedName>
    <definedName name="_xlnm.Print_Area" localSheetId="20">'Т21'!$B$2:$R$37</definedName>
    <definedName name="_xlnm.Print_Area" localSheetId="2">'Т3'!$B$2:$H$20</definedName>
    <definedName name="_xlnm.Print_Area" localSheetId="3">'Т4'!$B$2:$H$20</definedName>
    <definedName name="_xlnm.Print_Area" localSheetId="4">'Т5'!$B$2:$H$11</definedName>
    <definedName name="_xlnm.Print_Area" localSheetId="5">'Т6'!$B$2:$I$17</definedName>
    <definedName name="_xlnm.Print_Area" localSheetId="6">'Т7'!$B$2:$J$11</definedName>
    <definedName name="_xlnm.Print_Area" localSheetId="7">'Т8'!$B$2:$H$14</definedName>
    <definedName name="_xlnm.Print_Area" localSheetId="8">'Т9'!$B$2:$H$16</definedName>
  </definedNames>
  <calcPr fullCalcOnLoad="1" iterate="1" iterateCount="100" iterateDelta="0.001"/>
</workbook>
</file>

<file path=xl/comments8.xml><?xml version="1.0" encoding="utf-8"?>
<comments xmlns="http://schemas.openxmlformats.org/spreadsheetml/2006/main">
  <authors>
    <author>Краснянский Евгений</author>
  </authors>
  <commentList>
    <comment ref="A3" authorId="0">
      <text>
        <r>
          <rPr>
            <sz val="8"/>
            <rFont val="Tahoma"/>
            <family val="2"/>
          </rPr>
          <t xml:space="preserve">поставьте № квартала: I, II, III, IV
</t>
        </r>
      </text>
    </comment>
  </commentList>
</comments>
</file>

<file path=xl/sharedStrings.xml><?xml version="1.0" encoding="utf-8"?>
<sst xmlns="http://schemas.openxmlformats.org/spreadsheetml/2006/main" count="789" uniqueCount="214">
  <si>
    <t>3</t>
  </si>
  <si>
    <t>2</t>
  </si>
  <si>
    <t>Синий цвет цифр обозначает, что заполнение данных ячеек происходит автоматически.</t>
  </si>
  <si>
    <t>1</t>
  </si>
  <si>
    <t>Кредиторская задолженность, в том числе:</t>
  </si>
  <si>
    <t>целевое финансирование</t>
  </si>
  <si>
    <t>х</t>
  </si>
  <si>
    <t>текущей</t>
  </si>
  <si>
    <t>Наименование показателя</t>
  </si>
  <si>
    <t>Остаток денежных средств на начало года</t>
  </si>
  <si>
    <t>№
п/п</t>
  </si>
  <si>
    <t>1.1</t>
  </si>
  <si>
    <t>3.1</t>
  </si>
  <si>
    <t>Темп роста, %</t>
  </si>
  <si>
    <t>1.2</t>
  </si>
  <si>
    <t>Отклонение</t>
  </si>
  <si>
    <t>2.1</t>
  </si>
  <si>
    <t>Удельный вес, %</t>
  </si>
  <si>
    <t>2.2</t>
  </si>
  <si>
    <t>2.3</t>
  </si>
  <si>
    <t>2.4</t>
  </si>
  <si>
    <t>3.2</t>
  </si>
  <si>
    <t>3.3</t>
  </si>
  <si>
    <t>3.4</t>
  </si>
  <si>
    <t>4</t>
  </si>
  <si>
    <t>5</t>
  </si>
  <si>
    <t>6</t>
  </si>
  <si>
    <t>…</t>
  </si>
  <si>
    <t>Коэффициент текущей ликвидности</t>
  </si>
  <si>
    <t>Коэффициент абсолютной ликвидности</t>
  </si>
  <si>
    <t>Расход денежных средств - всего, в т.ч. по видам деятельности</t>
  </si>
  <si>
    <t>Поступление денежных средств – всего, в т.ч. по видам деятельности</t>
  </si>
  <si>
    <t>инвестиционной</t>
  </si>
  <si>
    <t>финансовой</t>
  </si>
  <si>
    <t>Остаток денежных средств на конец года</t>
  </si>
  <si>
    <t>Сумма денежных средств, млн. руб.</t>
  </si>
  <si>
    <t>отклонение</t>
  </si>
  <si>
    <t>ЗАО "Стройэксперт"</t>
  </si>
  <si>
    <t>Поступление денежных средств - всего, в том числе</t>
  </si>
  <si>
    <t>2.5</t>
  </si>
  <si>
    <t>2.6</t>
  </si>
  <si>
    <t>2.7</t>
  </si>
  <si>
    <t>2.8</t>
  </si>
  <si>
    <t>3.5</t>
  </si>
  <si>
    <t>3.6</t>
  </si>
  <si>
    <t>3.7</t>
  </si>
  <si>
    <t>3.8</t>
  </si>
  <si>
    <t>Остаток денежных средств на конец отчетного периода</t>
  </si>
  <si>
    <t>выручка от реализации продукции, товаров, работ и  услуг</t>
  </si>
  <si>
    <t>доход от продажи внеоборотных активов</t>
  </si>
  <si>
    <t>прочие доходы от операций с активами</t>
  </si>
  <si>
    <t>авансы, полученные от покупателей (заказчиков)</t>
  </si>
  <si>
    <t>кредиты, займы</t>
  </si>
  <si>
    <t>дивиденды, проценты по финансовым вложениям</t>
  </si>
  <si>
    <t>прочие поступления</t>
  </si>
  <si>
    <t>на оплату приобретенных активов</t>
  </si>
  <si>
    <t>на расчеты с персоналом</t>
  </si>
  <si>
    <t>на уплату налогов и сборов</t>
  </si>
  <si>
    <t>на выдачу авансов</t>
  </si>
  <si>
    <t>на финансовые вложения</t>
  </si>
  <si>
    <t>на оплату процентов по полученным кредитам, займам</t>
  </si>
  <si>
    <t>на погашение кредитов, займов</t>
  </si>
  <si>
    <t>прочие выплаты, перечисления и т.п.</t>
  </si>
  <si>
    <t>Направлено денежных средств-всего, в том числе</t>
  </si>
  <si>
    <t>Проверка ввода данных</t>
  </si>
  <si>
    <t>е9</t>
  </si>
  <si>
    <t>е18</t>
  </si>
  <si>
    <t>е27</t>
  </si>
  <si>
    <t>f9</t>
  </si>
  <si>
    <t>f18</t>
  </si>
  <si>
    <t>f27</t>
  </si>
  <si>
    <t>Коэффициент быстрой ликвидности</t>
  </si>
  <si>
    <t>Исходные данные для расчета показателей ликвидности</t>
  </si>
  <si>
    <t>Показатели баланса</t>
  </si>
  <si>
    <t>V раздел баланса «Краткосрочные обязательства»</t>
  </si>
  <si>
    <t>II раздел баланса «Оборотные активы»</t>
  </si>
  <si>
    <t>Стр. 260 баланса "Денежные средства"</t>
  </si>
  <si>
    <t>стр. 270 баланса"Финансовые вложения"</t>
  </si>
  <si>
    <t>стр. 240 баланса "Дебиторская задолженность (платежи по которой ожидаются в течение 12 месяцев после отчетной даты)"</t>
  </si>
  <si>
    <t>Исходные данные для расчета показателей платежеспособности</t>
  </si>
  <si>
    <t>стр. 623 баланса "Кредиторская задолженность по расчетам с персоналом по оплате труда"</t>
  </si>
  <si>
    <t>стр. 625 баланса "Кредиторская задолженность по налогам и сборам"</t>
  </si>
  <si>
    <t>стр. 626 баланса "Кредиторская задолженность по социальному страхованию и обеспечению"</t>
  </si>
  <si>
    <t>Остаток денежных средств на начало года (стр.010 Формы 4 баланса)</t>
  </si>
  <si>
    <t>Поступило денежных средств - всего (стр.020 Формы 4 баланса)</t>
  </si>
  <si>
    <t>Направлено денежных средств - всего (стр.150 Формы 4 баланса)</t>
  </si>
  <si>
    <t>Коэффициент общей платежеспособности</t>
  </si>
  <si>
    <t>Коэффициент срочной платежеспособности</t>
  </si>
  <si>
    <t>Чистый денежный поток от текущей деятельности</t>
  </si>
  <si>
    <t>Чистый денежный поток от инвестиционной деятельности</t>
  </si>
  <si>
    <t>Чистый денежный поток от финансовой деятельности</t>
  </si>
  <si>
    <t>Чистый денежный поток (общее изменение денежных средств за период)</t>
  </si>
  <si>
    <t>на начало года</t>
  </si>
  <si>
    <t>на конец года</t>
  </si>
  <si>
    <t>Дебиторская задолженность, в том числе:</t>
  </si>
  <si>
    <t>покупатели и заказчики</t>
  </si>
  <si>
    <t>расчеты с разными дебиторами и кредиторами</t>
  </si>
  <si>
    <t>в том числе поставщики и подрядчики</t>
  </si>
  <si>
    <t>расчеты по оплате труда</t>
  </si>
  <si>
    <t>расчеты по налогам и сборам</t>
  </si>
  <si>
    <t>расчеты по социальному страхованию и обеспечению</t>
  </si>
  <si>
    <t>Среднегодовая дебиторская задолженность</t>
  </si>
  <si>
    <t>Среднегодовая кредиторская задолженность</t>
  </si>
  <si>
    <t>Отношение дебиторской задолженности к кредиторской задолженности</t>
  </si>
  <si>
    <t>II</t>
  </si>
  <si>
    <t>Дебиторская задолженность на начало периода</t>
  </si>
  <si>
    <t>от реализации текущего месяца за наличный расчет</t>
  </si>
  <si>
    <t>от реализации в кредит прошлого месяца</t>
  </si>
  <si>
    <t>от реализации в кредит позапрошлого месяца</t>
  </si>
  <si>
    <t>Выручка от реализации -  всего, в т.ч.</t>
  </si>
  <si>
    <t>реализация в кредит</t>
  </si>
  <si>
    <t>Поступление денежных средств - всего, в т.ч.</t>
  </si>
  <si>
    <t>Поступление денежных средств:</t>
  </si>
  <si>
    <t>реализация продукции</t>
  </si>
  <si>
    <t>Всего поступления</t>
  </si>
  <si>
    <t>Отток денежных средств:</t>
  </si>
  <si>
    <t>погашение кредиторской задолженности</t>
  </si>
  <si>
    <t>прочие платежи (налоги, заработная плата и др.)</t>
  </si>
  <si>
    <t>Всего выплат</t>
  </si>
  <si>
    <t>Излишек (недостаток) денежных средств</t>
  </si>
  <si>
    <t>Остаток денежных средств на начало периода</t>
  </si>
  <si>
    <t>Изменение денежных средств</t>
  </si>
  <si>
    <t>Остаток денежных средств на конец периода</t>
  </si>
  <si>
    <t>Требуемый минимум денежных средств на расчетном счете</t>
  </si>
  <si>
    <t>Требуемая дополнительная краткосрочная ссуда</t>
  </si>
  <si>
    <t>Выручка от реализации продукции</t>
  </si>
  <si>
    <t>Поступление денежных средств</t>
  </si>
  <si>
    <t>Год</t>
  </si>
  <si>
    <t>Поступление денежных средств (ПДС)</t>
  </si>
  <si>
    <t>Средний абсолютный прирост</t>
  </si>
  <si>
    <t>Средний темп роста</t>
  </si>
  <si>
    <t>по среднему абсолютному приросту</t>
  </si>
  <si>
    <t>по среднему темпу роста</t>
  </si>
  <si>
    <t>Порядковый номер даты</t>
  </si>
  <si>
    <t>Прогнозные значения денежных поступлений</t>
  </si>
  <si>
    <t>Абсолютный прирост ПДС по сравнению с предшествующим периодом</t>
  </si>
  <si>
    <t>Индекс роста</t>
  </si>
  <si>
    <t>Чистый денежный поток</t>
  </si>
  <si>
    <t>Стоимость активов организации</t>
  </si>
  <si>
    <t>Выручка от реализации продукции и услуг</t>
  </si>
  <si>
    <t>Полученные авансы от покупателей и заказчиков</t>
  </si>
  <si>
    <t>Сумма прочих поступлений от операционной деятельности</t>
  </si>
  <si>
    <t xml:space="preserve">Сумма средств, выплаченная за приобретенные ТМЦ </t>
  </si>
  <si>
    <t>Сумма выплаченной заработной платы</t>
  </si>
  <si>
    <t xml:space="preserve">Сумма налоговых платежей </t>
  </si>
  <si>
    <t xml:space="preserve">Сумма прочих выплат в процессе операционной деятельности </t>
  </si>
  <si>
    <t>Чистый денежный поток по операционной деятельности</t>
  </si>
  <si>
    <t>Наименование условного показателя</t>
  </si>
  <si>
    <t>Чистый денежный поток базисный</t>
  </si>
  <si>
    <t>Условный показатель при выручке от реализации продукции отчетного периода и остальных показателей в базисном периоде</t>
  </si>
  <si>
    <t>Условный показатель при значении выручки от реализации продукции и полученных авансов от покупателей и заказчиков в отчетном периоде и остальных показателей в базисном</t>
  </si>
  <si>
    <t>Условный показатель при значении выручки от реализации продукции, полученных авансов от покупателей и заказчиков, сумме прочих поступлений в отчетном периоде и остальных показателей в базисном</t>
  </si>
  <si>
    <t>Условный показатель при значении выручки от реализации продукции, полученных авансов от покупателей и заказчиков, суммы прочих поступлений, суммы оплаты ТМЦ в отчетном периоде и остальных показателей в базисном</t>
  </si>
  <si>
    <t>Условный показатель при значении выручки от реализации продукции, полученных авансов от покупателей и заказчиков, суммы прочих поступлений, суммы оплаты ТМЦ, суммы заработной платы в отчетном периоде и остальных показателей в базисном</t>
  </si>
  <si>
    <t>Условный показатель при значении суммы прочих выплат в базисном периоде и значениях остальных показателей в отчетном</t>
  </si>
  <si>
    <t>Чистый денежный поток в отчетном периоде</t>
  </si>
  <si>
    <t>Сумма средств, выплаченная за приобретенные ТМЦ</t>
  </si>
  <si>
    <t>Сумма налоговых платежей</t>
  </si>
  <si>
    <t>Сумма прочих выплат в процессе операционной деятельности</t>
  </si>
  <si>
    <t>Значение</t>
  </si>
  <si>
    <t>Общая сумма дополнительно привлеченных кредитов и займов</t>
  </si>
  <si>
    <t>Сумма средств целевого финансирования</t>
  </si>
  <si>
    <t>Общая сумма выплат по кредитам и займам</t>
  </si>
  <si>
    <t>Сумма прочих выплат в процессе финансовой деятельности</t>
  </si>
  <si>
    <t>Условный показатель при сумме кредитов и займов отчетного периода, сумме целевого финансирования и выплат по кредитам и займам в базисном периоде</t>
  </si>
  <si>
    <t>Условный показатель при сумме кредитов и займов, сумме целевого финансирования отчетного периода, и выплат по кредитам и займам в базисном периоде</t>
  </si>
  <si>
    <t>Чистый денежный поток отчетный</t>
  </si>
  <si>
    <t>Общее изменение</t>
  </si>
  <si>
    <t>Сумма  средств целевого финансирования</t>
  </si>
  <si>
    <t>Положительный денежный поток</t>
  </si>
  <si>
    <t>Отрицательный денежный поток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</si>
  <si>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</si>
  <si>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</si>
  <si>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</si>
  <si>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</si>
  <si>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</si>
  <si>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</si>
  <si>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</si>
  <si>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</si>
  <si>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</si>
  <si>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</si>
  <si>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</si>
  <si>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</si>
  <si>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</si>
  <si>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</si>
  <si>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среднеквадратическое отклонение для положительного денежного потока</t>
  </si>
  <si>
    <t>среднеквадратическое отклонение для отрицательного денежного потока</t>
  </si>
  <si>
    <t>коэффициент вариации для положительного денежного потока</t>
  </si>
  <si>
    <t>коэффициент вариации для отрицательного денежного потока</t>
  </si>
  <si>
    <t>коэффициент корреляции</t>
  </si>
  <si>
    <t>коэффициент ликвидности денежного потока</t>
  </si>
  <si>
    <t>q7</t>
  </si>
  <si>
    <t>q8</t>
  </si>
  <si>
    <t>Т-1 Анализ движения денежных средств</t>
  </si>
  <si>
    <t>Т-2 Структура притока и оттока денежных средств</t>
  </si>
  <si>
    <t>Т-3 Анализ коэффициентов ликвидности</t>
  </si>
  <si>
    <t>Т-4 Анализ коэффициентов платежеспособности</t>
  </si>
  <si>
    <t>Т-5 Анализ чистого денежного потока</t>
  </si>
  <si>
    <t>Т-6 Анализ дебиторской и кредиторской задолженности</t>
  </si>
  <si>
    <t xml:space="preserve">Т-7 Сравнение дебиторской и кредиторской задолженности </t>
  </si>
  <si>
    <t>Т-8 Прогнозирование динамики денежных поступлений</t>
  </si>
  <si>
    <t>Т-9 Прогнозируемый бюджет денежных средств</t>
  </si>
  <si>
    <t xml:space="preserve">Т-10 Расчет объема требуемого краткосрочного финансирования </t>
  </si>
  <si>
    <t>Т-11 Показатели для расчета коэффициента эластичности поступления денежных средств</t>
  </si>
  <si>
    <t>Т-12 Исходная информация для прогнозирования поступления денежных средств</t>
  </si>
  <si>
    <t>Т-13 Расчетная таблица прогнозных значений поступления денежных средств</t>
  </si>
  <si>
    <t>Т-14 Расчет показателей финансовой устойчивости деятельности</t>
  </si>
  <si>
    <t>Т-15 Факторы, оказывающие влияние на изменение чистого денежного потока</t>
  </si>
  <si>
    <t xml:space="preserve">Т-16 Расчет условных показателей для определения влияния факторов на изменение чистого денежного потока по операционной деятельности </t>
  </si>
  <si>
    <t>Т-17 Расчет влияния факторов на изменение чистого денежного потока от операционной деятельности</t>
  </si>
  <si>
    <t>Т-18 Факторы, оказывающие влияние на изменение чистого денежного потока по финансовой деятельности</t>
  </si>
  <si>
    <t xml:space="preserve">Т-19 Расчет условных показателей для определения влияния факторов на изменение чистого денежного потока по операционной деятельности  </t>
  </si>
  <si>
    <t>Т-20 Расчет влияния факторов на изменение чистого денежного потока от операционной деятельности</t>
  </si>
  <si>
    <t>Т-21 Динамика денежных потоков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</si>
</sst>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  <numFmt numFmtId="186" formatCode="0.0%"/>
    <numFmt numFmtId="187" formatCode="#,##0.0000"/>
    <numFmt numFmtId="188" formatCode="[$-FC19]d\ mmmm\ yyyy\ &quot;г.&quot;"/>
    <numFmt numFmtId="189" formatCode="[$-419]mmmm\ yyyy;@"/>
  </numFmts>
  <fonts count="55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8"/>
      <color indexed="30"/>
      <name val="Tahoma"/>
      <family val="2"/>
    </font>
    <font>
      <sz val="10"/>
      <color indexed="3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30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vertical="center" wrapText="1"/>
    </xf>
    <xf numFmtId="18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left"/>
      <protection hidden="1"/>
    </xf>
    <xf numFmtId="0" fontId="8" fillId="33" borderId="15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5" fillId="32" borderId="0" xfId="0" applyFont="1" applyFill="1" applyAlignment="1" applyProtection="1">
      <alignment vertical="center"/>
      <protection hidden="1"/>
    </xf>
    <xf numFmtId="0" fontId="15" fillId="32" borderId="0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 applyProtection="1">
      <alignment horizontal="center"/>
      <protection hidden="1"/>
    </xf>
    <xf numFmtId="0" fontId="16" fillId="32" borderId="14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189" fontId="4" fillId="34" borderId="14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>
      <alignment horizontal="center" vertical="center" wrapText="1"/>
    </xf>
    <xf numFmtId="172" fontId="14" fillId="0" borderId="1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172" fontId="14" fillId="0" borderId="13" xfId="0" applyNumberFormat="1" applyFont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10" fontId="14" fillId="0" borderId="2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vertical="top" wrapText="1"/>
    </xf>
    <xf numFmtId="172" fontId="17" fillId="0" borderId="0" xfId="0" applyNumberFormat="1" applyFont="1" applyBorder="1" applyAlignment="1">
      <alignment horizontal="left" wrapText="1"/>
    </xf>
    <xf numFmtId="0" fontId="18" fillId="32" borderId="14" xfId="0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0" fontId="14" fillId="0" borderId="14" xfId="57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0" fontId="4" fillId="33" borderId="19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 wrapText="1"/>
      <protection hidden="1"/>
    </xf>
    <xf numFmtId="0" fontId="5" fillId="32" borderId="0" xfId="42" applyFill="1" applyAlignment="1" applyProtection="1">
      <alignment vertical="center" wrapText="1"/>
      <protection hidden="1"/>
    </xf>
    <xf numFmtId="0" fontId="5" fillId="32" borderId="0" xfId="42" applyFill="1" applyBorder="1" applyAlignment="1" applyProtection="1">
      <alignment vertical="center" wrapText="1"/>
      <protection hidden="1"/>
    </xf>
    <xf numFmtId="0" fontId="4" fillId="32" borderId="0" xfId="0" applyFont="1" applyFill="1" applyAlignment="1" applyProtection="1">
      <alignment vertical="center" wrapText="1"/>
      <protection hidden="1"/>
    </xf>
    <xf numFmtId="0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45"/>
          <c:w val="0.806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'Т21'!$D$7</c:f>
              <c:strCache>
                <c:ptCount val="1"/>
                <c:pt idx="0">
                  <c:v>Положительный денежный поток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'Т21'!$E$6:$P$6</c:f>
              <c:strCache/>
            </c:strRef>
          </c:cat>
          <c:val>
            <c:numRef>
              <c:f>'Т21'!$E$7:$P$7</c:f>
              <c:numCache/>
            </c:numRef>
          </c:val>
          <c:smooth val="0"/>
        </c:ser>
        <c:ser>
          <c:idx val="1"/>
          <c:order val="1"/>
          <c:tx>
            <c:strRef>
              <c:f>'Т21'!$D$8</c:f>
              <c:strCache>
                <c:ptCount val="1"/>
                <c:pt idx="0">
                  <c:v>Отрицательный денежный поток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'Т21'!$E$6:$P$6</c:f>
              <c:strCache/>
            </c:strRef>
          </c:cat>
          <c:val>
            <c:numRef>
              <c:f>'Т21'!$E$8:$P$8</c:f>
              <c:numCache/>
            </c:numRef>
          </c:val>
          <c:smooth val="0"/>
        </c:ser>
        <c:ser>
          <c:idx val="2"/>
          <c:order val="2"/>
          <c:tx>
            <c:strRef>
              <c:f>'Т21'!$D$9</c:f>
              <c:strCache>
                <c:ptCount val="1"/>
                <c:pt idx="0">
                  <c:v>Чистый денежный поток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'Т21'!$E$6:$P$6</c:f>
              <c:strCache/>
            </c:strRef>
          </c:cat>
          <c:val>
            <c:numRef>
              <c:f>'Т21'!$E$9:$P$9</c:f>
              <c:numCache/>
            </c:numRef>
          </c:val>
          <c:smooth val="0"/>
        </c:ser>
        <c:marker val="1"/>
        <c:axId val="1644871"/>
        <c:axId val="14803840"/>
      </c:line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87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13775"/>
          <c:w val="0.143"/>
          <c:h val="0.5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33996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9525</xdr:rowOff>
    </xdr:from>
    <xdr:to>
      <xdr:col>16</xdr:col>
      <xdr:colOff>533400</xdr:colOff>
      <xdr:row>36</xdr:row>
      <xdr:rowOff>85725</xdr:rowOff>
    </xdr:to>
    <xdr:graphicFrame>
      <xdr:nvGraphicFramePr>
        <xdr:cNvPr id="1" name="Диаграмма 3"/>
        <xdr:cNvGraphicFramePr/>
      </xdr:nvGraphicFramePr>
      <xdr:xfrm>
        <a:off x="514350" y="3952875"/>
        <a:ext cx="144303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O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2" width="3.25390625" style="1" customWidth="1"/>
    <col min="3" max="3" width="7.25390625" style="12" bestFit="1" customWidth="1"/>
    <col min="4" max="4" width="45.625" style="12" customWidth="1"/>
    <col min="5" max="5" width="13.00390625" style="13" customWidth="1"/>
    <col min="6" max="6" width="12.25390625" style="13" customWidth="1"/>
    <col min="7" max="7" width="9.625" style="13" bestFit="1" customWidth="1"/>
    <col min="8" max="8" width="9.00390625" style="13" customWidth="1"/>
    <col min="9" max="9" width="10.375" style="13" customWidth="1"/>
    <col min="10" max="10" width="14.125" style="13" customWidth="1"/>
    <col min="11" max="11" width="3.00390625" style="1" customWidth="1"/>
    <col min="12" max="12" width="2.75390625" style="1" customWidth="1"/>
    <col min="13" max="13" width="79.125" style="66" customWidth="1"/>
    <col min="14" max="14" width="2.75390625" style="1" customWidth="1"/>
    <col min="15" max="15" width="6.625" style="1" bestFit="1" customWidth="1"/>
    <col min="16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1.25" thickBot="1">
      <c r="B1" s="5" t="s">
        <v>2</v>
      </c>
      <c r="C1" s="5"/>
      <c r="D1" s="5"/>
      <c r="E1" s="5"/>
      <c r="F1" s="30"/>
      <c r="G1" s="5"/>
      <c r="H1" s="30"/>
      <c r="I1" s="5"/>
      <c r="J1" s="5"/>
      <c r="K1" s="5"/>
      <c r="L1" s="5"/>
      <c r="M1" s="63"/>
      <c r="N1" s="5"/>
      <c r="O1" s="5"/>
      <c r="P1" s="5"/>
    </row>
    <row r="2" spans="2:41" ht="18">
      <c r="B2" s="14"/>
      <c r="C2" s="15"/>
      <c r="D2" s="15"/>
      <c r="E2" s="15"/>
      <c r="F2" s="15"/>
      <c r="G2" s="15"/>
      <c r="H2" s="15"/>
      <c r="I2" s="15"/>
      <c r="J2" s="15"/>
      <c r="K2" s="16"/>
      <c r="M2" s="64" t="s">
        <v>193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8">
      <c r="B3" s="17"/>
      <c r="C3" s="67" t="str">
        <f>CONCATENATE("Анализ движения денежных средств за ",E7,"-",F7," гг. по видам деятельности")</f>
        <v>Анализ движения денежных средств за 2009-2010 гг. по видам деятельности</v>
      </c>
      <c r="D3" s="67"/>
      <c r="E3" s="67"/>
      <c r="F3" s="67"/>
      <c r="G3" s="67"/>
      <c r="H3" s="67"/>
      <c r="I3" s="67"/>
      <c r="J3" s="67"/>
      <c r="K3" s="18"/>
      <c r="M3" s="64" t="s">
        <v>194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8">
      <c r="B4" s="17"/>
      <c r="C4" s="67" t="s">
        <v>37</v>
      </c>
      <c r="D4" s="67"/>
      <c r="E4" s="67"/>
      <c r="F4" s="67"/>
      <c r="G4" s="67"/>
      <c r="H4" s="67"/>
      <c r="I4" s="67"/>
      <c r="J4" s="67"/>
      <c r="K4" s="18"/>
      <c r="M4" s="64" t="s">
        <v>195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8">
      <c r="B5" s="17"/>
      <c r="C5" s="7"/>
      <c r="D5" s="7"/>
      <c r="E5" s="7"/>
      <c r="F5" s="7"/>
      <c r="G5" s="7"/>
      <c r="H5" s="7"/>
      <c r="I5" s="7"/>
      <c r="J5" s="7"/>
      <c r="K5" s="18"/>
      <c r="M5" s="64" t="s">
        <v>196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14.25">
      <c r="B6" s="19"/>
      <c r="C6" s="72" t="s">
        <v>10</v>
      </c>
      <c r="D6" s="72" t="s">
        <v>8</v>
      </c>
      <c r="E6" s="68" t="s">
        <v>35</v>
      </c>
      <c r="F6" s="68"/>
      <c r="G6" s="68"/>
      <c r="H6" s="69" t="s">
        <v>17</v>
      </c>
      <c r="I6" s="70"/>
      <c r="J6" s="71"/>
      <c r="K6" s="18"/>
      <c r="M6" s="64" t="s">
        <v>197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41" ht="14.25">
      <c r="B7" s="19"/>
      <c r="C7" s="73"/>
      <c r="D7" s="73"/>
      <c r="E7" s="33">
        <v>2009</v>
      </c>
      <c r="F7" s="33">
        <v>2010</v>
      </c>
      <c r="G7" s="33" t="s">
        <v>36</v>
      </c>
      <c r="H7" s="33">
        <v>2009</v>
      </c>
      <c r="I7" s="33">
        <v>2010</v>
      </c>
      <c r="J7" s="33" t="s">
        <v>36</v>
      </c>
      <c r="K7" s="18"/>
      <c r="M7" s="64" t="s">
        <v>198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23" s="11" customFormat="1" ht="12.75">
      <c r="A8" s="31"/>
      <c r="B8" s="2"/>
      <c r="C8" s="23">
        <v>1</v>
      </c>
      <c r="D8" s="9" t="s">
        <v>9</v>
      </c>
      <c r="E8" s="26">
        <v>10</v>
      </c>
      <c r="F8" s="26">
        <v>12</v>
      </c>
      <c r="G8" s="25">
        <f>F8-E8</f>
        <v>2</v>
      </c>
      <c r="H8" s="29" t="s">
        <v>6</v>
      </c>
      <c r="I8" s="29" t="s">
        <v>6</v>
      </c>
      <c r="J8" s="26" t="s">
        <v>6</v>
      </c>
      <c r="K8" s="3"/>
      <c r="M8" s="65" t="s">
        <v>199</v>
      </c>
      <c r="R8" s="10"/>
      <c r="S8" s="10"/>
      <c r="T8" s="10"/>
      <c r="U8" s="10"/>
      <c r="V8" s="10"/>
      <c r="W8" s="10"/>
    </row>
    <row r="9" spans="2:23" s="11" customFormat="1" ht="25.5">
      <c r="B9" s="2"/>
      <c r="C9" s="28" t="s">
        <v>1</v>
      </c>
      <c r="D9" s="9" t="s">
        <v>31</v>
      </c>
      <c r="E9" s="25">
        <f>SUM(E10:E12)</f>
        <v>1502</v>
      </c>
      <c r="F9" s="25">
        <f>SUM(F10:F12)</f>
        <v>1604</v>
      </c>
      <c r="G9" s="25">
        <f aca="true" t="shared" si="0" ref="G9:G17">F9-E9</f>
        <v>102</v>
      </c>
      <c r="H9" s="27">
        <f>SUM(H10:H12)</f>
        <v>1</v>
      </c>
      <c r="I9" s="27">
        <f>SUM(I10:I12)</f>
        <v>1</v>
      </c>
      <c r="J9" s="27">
        <f aca="true" t="shared" si="1" ref="J9:J16">I9-H9</f>
        <v>0</v>
      </c>
      <c r="K9" s="3"/>
      <c r="M9" s="65" t="s">
        <v>200</v>
      </c>
      <c r="R9" s="10"/>
      <c r="S9" s="10"/>
      <c r="T9" s="10"/>
      <c r="U9" s="10"/>
      <c r="V9" s="10"/>
      <c r="W9" s="10"/>
    </row>
    <row r="10" spans="2:23" s="11" customFormat="1" ht="12.75">
      <c r="B10" s="2"/>
      <c r="C10" s="28" t="s">
        <v>16</v>
      </c>
      <c r="D10" s="22" t="s">
        <v>7</v>
      </c>
      <c r="E10" s="26">
        <v>1500</v>
      </c>
      <c r="F10" s="26">
        <v>1600</v>
      </c>
      <c r="G10" s="25">
        <f t="shared" si="0"/>
        <v>100</v>
      </c>
      <c r="H10" s="27">
        <f aca="true" t="shared" si="2" ref="H10:I12">E10/E$9</f>
        <v>0.9986684420772304</v>
      </c>
      <c r="I10" s="27">
        <f t="shared" si="2"/>
        <v>0.9975062344139651</v>
      </c>
      <c r="J10" s="27">
        <f t="shared" si="1"/>
        <v>-0.0011622076632652467</v>
      </c>
      <c r="K10" s="3"/>
      <c r="M10" s="65" t="s">
        <v>201</v>
      </c>
      <c r="R10" s="10"/>
      <c r="S10" s="10"/>
      <c r="T10" s="10"/>
      <c r="U10" s="10"/>
      <c r="V10" s="10"/>
      <c r="W10" s="10"/>
    </row>
    <row r="11" spans="2:23" s="11" customFormat="1" ht="12.75">
      <c r="B11" s="2"/>
      <c r="C11" s="28" t="s">
        <v>18</v>
      </c>
      <c r="D11" s="22" t="s">
        <v>32</v>
      </c>
      <c r="E11" s="26">
        <v>2</v>
      </c>
      <c r="F11" s="26">
        <v>4</v>
      </c>
      <c r="G11" s="25">
        <f t="shared" si="0"/>
        <v>2</v>
      </c>
      <c r="H11" s="27">
        <f t="shared" si="2"/>
        <v>0.0013315579227696406</v>
      </c>
      <c r="I11" s="27">
        <f t="shared" si="2"/>
        <v>0.0024937655860349127</v>
      </c>
      <c r="J11" s="27">
        <f t="shared" si="1"/>
        <v>0.001162207663265272</v>
      </c>
      <c r="K11" s="3"/>
      <c r="M11" s="65" t="s">
        <v>202</v>
      </c>
      <c r="R11" s="10"/>
      <c r="S11" s="10"/>
      <c r="T11" s="10"/>
      <c r="U11" s="10"/>
      <c r="V11" s="10"/>
      <c r="W11" s="10"/>
    </row>
    <row r="12" spans="2:23" s="11" customFormat="1" ht="25.5">
      <c r="B12" s="2"/>
      <c r="C12" s="28" t="s">
        <v>19</v>
      </c>
      <c r="D12" s="22" t="s">
        <v>33</v>
      </c>
      <c r="E12" s="26">
        <v>0</v>
      </c>
      <c r="F12" s="26">
        <v>0</v>
      </c>
      <c r="G12" s="25">
        <f t="shared" si="0"/>
        <v>0</v>
      </c>
      <c r="H12" s="27">
        <f t="shared" si="2"/>
        <v>0</v>
      </c>
      <c r="I12" s="27">
        <f t="shared" si="2"/>
        <v>0</v>
      </c>
      <c r="J12" s="27">
        <f t="shared" si="1"/>
        <v>0</v>
      </c>
      <c r="K12" s="3"/>
      <c r="M12" s="65" t="s">
        <v>203</v>
      </c>
      <c r="R12" s="10"/>
      <c r="S12" s="10"/>
      <c r="T12" s="10"/>
      <c r="U12" s="10"/>
      <c r="V12" s="10"/>
      <c r="W12" s="10"/>
    </row>
    <row r="13" spans="2:23" s="11" customFormat="1" ht="25.5">
      <c r="B13" s="2"/>
      <c r="C13" s="28" t="s">
        <v>0</v>
      </c>
      <c r="D13" s="9" t="s">
        <v>30</v>
      </c>
      <c r="E13" s="25">
        <f>SUM(E14:E16)</f>
        <v>1500</v>
      </c>
      <c r="F13" s="25">
        <f>SUM(F14:F16)</f>
        <v>1606</v>
      </c>
      <c r="G13" s="25">
        <f t="shared" si="0"/>
        <v>106</v>
      </c>
      <c r="H13" s="27">
        <f>SUM(H14:H16)</f>
        <v>1</v>
      </c>
      <c r="I13" s="27">
        <f>SUM(I14:I16)</f>
        <v>1</v>
      </c>
      <c r="J13" s="27">
        <f t="shared" si="1"/>
        <v>0</v>
      </c>
      <c r="K13" s="3"/>
      <c r="M13" s="65" t="s">
        <v>204</v>
      </c>
      <c r="R13" s="10"/>
      <c r="S13" s="10"/>
      <c r="T13" s="10"/>
      <c r="U13" s="10"/>
      <c r="V13" s="10"/>
      <c r="W13" s="10"/>
    </row>
    <row r="14" spans="2:23" s="11" customFormat="1" ht="12.75">
      <c r="B14" s="2"/>
      <c r="C14" s="28" t="s">
        <v>12</v>
      </c>
      <c r="D14" s="22" t="s">
        <v>7</v>
      </c>
      <c r="E14" s="26">
        <v>1450</v>
      </c>
      <c r="F14" s="26">
        <v>1540</v>
      </c>
      <c r="G14" s="25">
        <f t="shared" si="0"/>
        <v>90</v>
      </c>
      <c r="H14" s="27">
        <f aca="true" t="shared" si="3" ref="H14:I16">E14/E$13</f>
        <v>0.9666666666666667</v>
      </c>
      <c r="I14" s="27">
        <f t="shared" si="3"/>
        <v>0.958904109589041</v>
      </c>
      <c r="J14" s="27">
        <f t="shared" si="1"/>
        <v>-0.007762557077625631</v>
      </c>
      <c r="K14" s="3"/>
      <c r="M14" s="65" t="s">
        <v>205</v>
      </c>
      <c r="R14" s="10"/>
      <c r="S14" s="10"/>
      <c r="T14" s="10"/>
      <c r="U14" s="10"/>
      <c r="V14" s="10"/>
      <c r="W14" s="10"/>
    </row>
    <row r="15" spans="2:23" s="11" customFormat="1" ht="12.75">
      <c r="B15" s="2"/>
      <c r="C15" s="28" t="s">
        <v>21</v>
      </c>
      <c r="D15" s="22" t="s">
        <v>32</v>
      </c>
      <c r="E15" s="26">
        <v>50</v>
      </c>
      <c r="F15" s="26">
        <v>66</v>
      </c>
      <c r="G15" s="25">
        <f t="shared" si="0"/>
        <v>16</v>
      </c>
      <c r="H15" s="27">
        <f t="shared" si="3"/>
        <v>0.03333333333333333</v>
      </c>
      <c r="I15" s="27">
        <f t="shared" si="3"/>
        <v>0.0410958904109589</v>
      </c>
      <c r="J15" s="27">
        <f t="shared" si="1"/>
        <v>0.007762557077625569</v>
      </c>
      <c r="K15" s="3"/>
      <c r="M15" s="65" t="s">
        <v>206</v>
      </c>
      <c r="R15" s="10"/>
      <c r="S15" s="10"/>
      <c r="T15" s="10"/>
      <c r="U15" s="10"/>
      <c r="V15" s="10"/>
      <c r="W15" s="10"/>
    </row>
    <row r="16" spans="2:23" s="11" customFormat="1" ht="12.75">
      <c r="B16" s="2"/>
      <c r="C16" s="28" t="s">
        <v>22</v>
      </c>
      <c r="D16" s="22" t="s">
        <v>33</v>
      </c>
      <c r="E16" s="26">
        <v>0</v>
      </c>
      <c r="F16" s="26">
        <v>0</v>
      </c>
      <c r="G16" s="25">
        <f t="shared" si="0"/>
        <v>0</v>
      </c>
      <c r="H16" s="27">
        <f t="shared" si="3"/>
        <v>0</v>
      </c>
      <c r="I16" s="27">
        <f t="shared" si="3"/>
        <v>0</v>
      </c>
      <c r="J16" s="27">
        <f t="shared" si="1"/>
        <v>0</v>
      </c>
      <c r="K16" s="3"/>
      <c r="M16" s="65" t="s">
        <v>207</v>
      </c>
      <c r="R16" s="10"/>
      <c r="S16" s="10"/>
      <c r="T16" s="10"/>
      <c r="U16" s="10"/>
      <c r="V16" s="10"/>
      <c r="W16" s="10"/>
    </row>
    <row r="17" spans="2:23" s="11" customFormat="1" ht="25.5">
      <c r="B17" s="2"/>
      <c r="C17" s="28" t="s">
        <v>24</v>
      </c>
      <c r="D17" s="9" t="s">
        <v>34</v>
      </c>
      <c r="E17" s="25">
        <f>E8+E9-E13</f>
        <v>12</v>
      </c>
      <c r="F17" s="25">
        <f>F8+F9-F13</f>
        <v>10</v>
      </c>
      <c r="G17" s="25">
        <f t="shared" si="0"/>
        <v>-2</v>
      </c>
      <c r="H17" s="29" t="s">
        <v>6</v>
      </c>
      <c r="I17" s="29" t="s">
        <v>6</v>
      </c>
      <c r="J17" s="26" t="s">
        <v>6</v>
      </c>
      <c r="K17" s="3"/>
      <c r="M17" s="65" t="s">
        <v>208</v>
      </c>
      <c r="R17" s="10"/>
      <c r="S17" s="10"/>
      <c r="T17" s="10"/>
      <c r="U17" s="10"/>
      <c r="V17" s="10"/>
      <c r="W17" s="10"/>
    </row>
    <row r="18" spans="2:13" ht="26.25" thickBot="1">
      <c r="B18" s="4"/>
      <c r="C18" s="20"/>
      <c r="D18" s="20"/>
      <c r="E18" s="20"/>
      <c r="F18" s="20"/>
      <c r="G18" s="20"/>
      <c r="H18" s="20"/>
      <c r="I18" s="20"/>
      <c r="J18" s="20"/>
      <c r="K18" s="21"/>
      <c r="M18" s="64" t="s">
        <v>209</v>
      </c>
    </row>
    <row r="19" ht="25.5">
      <c r="M19" s="64" t="s">
        <v>210</v>
      </c>
    </row>
    <row r="20" ht="25.5">
      <c r="M20" s="64" t="s">
        <v>211</v>
      </c>
    </row>
    <row r="21" ht="25.5">
      <c r="M21" s="64" t="s">
        <v>212</v>
      </c>
    </row>
    <row r="22" ht="12.75">
      <c r="M22" s="64" t="s">
        <v>213</v>
      </c>
    </row>
  </sheetData>
  <sheetProtection/>
  <mergeCells count="6">
    <mergeCell ref="C3:J3"/>
    <mergeCell ref="E6:G6"/>
    <mergeCell ref="H6:J6"/>
    <mergeCell ref="C4:J4"/>
    <mergeCell ref="C6:C7"/>
    <mergeCell ref="D6:D7"/>
  </mergeCells>
  <hyperlinks>
    <hyperlink ref="M2" location="Т1!A1" display="Т-1 Анализ движения денежных средств"/>
    <hyperlink ref="M3" location="Т2!A1" display="Т-2 Структура притока и оттока денежных средств"/>
    <hyperlink ref="M4" location="Т3!A1" display="Т-3 Анализ коэффициентов ликвидности"/>
    <hyperlink ref="M5" location="Т4!A1" display="Т-4 Анализ коэффициентов платежеспособности"/>
    <hyperlink ref="M6" location="Т5!A1" display="Т-5 Анализ чистого денежного потока"/>
    <hyperlink ref="M7" location="Т6!A1" display="Т-6 Анализ дебиторской и кредиторской задолженности"/>
    <hyperlink ref="M8" location="Т7!A1" display="Т-7 Сравнение дебиторской и кредиторской задолженности "/>
    <hyperlink ref="M9" location="Т8!A1" display="Т-8 Прогнозирование динамики денежных поступлений"/>
    <hyperlink ref="M10" location="Т9!A1" display="Т-9 Прогнозируемый бюджет денежных средств"/>
    <hyperlink ref="M11" location="Т10!A1" display="Т-10 Расчет объема требуемого краткосрочного финансирования "/>
    <hyperlink ref="M12" location="Т11!A1" display="Т-11 Показатели для расчета коэффициента эластичности поступления денежных средств"/>
    <hyperlink ref="M13" location="Т12!A1" display="Т-12 Исходная информация для прогнозирования поступления денежных средств"/>
    <hyperlink ref="M14" location="Т13!A1" display="Т-13 Расчетная таблица прогнозных значений поступления денежных средств"/>
    <hyperlink ref="M15" location="Т14!A1" display="Т-14 Расчет показателей финансовой устойчивости деятельности"/>
    <hyperlink ref="M16" location="Т15!A1" display="Т-15 Факторы, оказывающие влияние на изменение чистого денежного потока"/>
    <hyperlink ref="M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M18" location="Т17!A1" display="Т-17 Расчет влияния факторов на изменение чистого денежного потока от операционной деятельности"/>
    <hyperlink ref="M19" location="Т18!A1" display="Т-18 Факторы, оказывающие влияние на изменение чистого денежного потока по финансовой деятельности"/>
    <hyperlink ref="M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M21" location="Т20!A1" display="Т-20 Расчет влияния факторов на изменение чистого денежного потока от операционной деятельности"/>
    <hyperlink ref="M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87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3.00390625" style="13" customWidth="1"/>
    <col min="6" max="6" width="12.25390625" style="13" customWidth="1"/>
    <col min="7" max="7" width="11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8">
      <c r="A3" s="39"/>
      <c r="B3" s="17"/>
      <c r="C3" s="75" t="str">
        <f>CONCATENATE("Расчет объема требуемого краткосрочного финансирования за ",'Т8'!A3," квартал ",('Т7'!F6+1)," года в")</f>
        <v>Расчет объема требуемого краткосрочного финансирования за II квартал 2011 года в</v>
      </c>
      <c r="D3" s="75"/>
      <c r="E3" s="75"/>
      <c r="F3" s="75"/>
      <c r="G3" s="75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8">
        <f>'Т8'!E6</f>
        <v>40603</v>
      </c>
      <c r="F6" s="38">
        <f>'Т8'!F6</f>
        <v>40636</v>
      </c>
      <c r="G6" s="38">
        <f>'Т8'!G6</f>
        <v>40669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120</v>
      </c>
      <c r="E7" s="26">
        <v>11</v>
      </c>
      <c r="F7" s="26">
        <v>14</v>
      </c>
      <c r="G7" s="26">
        <v>13.2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8" t="s">
        <v>1</v>
      </c>
      <c r="D8" s="9" t="s">
        <v>121</v>
      </c>
      <c r="E8" s="25">
        <f>'Т9'!E15</f>
        <v>8.299999999999997</v>
      </c>
      <c r="F8" s="25">
        <f>'Т9'!F15</f>
        <v>3.200000000000003</v>
      </c>
      <c r="G8" s="25">
        <f>'Т9'!G15</f>
        <v>9.400000000000006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8" t="s">
        <v>0</v>
      </c>
      <c r="D9" s="9" t="s">
        <v>122</v>
      </c>
      <c r="E9" s="25">
        <f>E7+E8</f>
        <v>19.299999999999997</v>
      </c>
      <c r="F9" s="25">
        <f>F7+F8</f>
        <v>17.200000000000003</v>
      </c>
      <c r="G9" s="25">
        <f>G7+G8</f>
        <v>22.600000000000005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25.5">
      <c r="A10" s="31"/>
      <c r="B10" s="2"/>
      <c r="C10" s="28" t="s">
        <v>24</v>
      </c>
      <c r="D10" s="9" t="s">
        <v>123</v>
      </c>
      <c r="E10" s="26">
        <v>2</v>
      </c>
      <c r="F10" s="26">
        <v>2</v>
      </c>
      <c r="G10" s="26">
        <v>2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25.5">
      <c r="A11" s="31"/>
      <c r="B11" s="2"/>
      <c r="C11" s="28" t="s">
        <v>25</v>
      </c>
      <c r="D11" s="9" t="s">
        <v>124</v>
      </c>
      <c r="E11" s="25">
        <f>IF(E10&gt;E9,E10-E9,0)</f>
        <v>0</v>
      </c>
      <c r="F11" s="25">
        <f>IF(F10&gt;F9,F10-F9,0)</f>
        <v>0</v>
      </c>
      <c r="G11" s="25">
        <f>IF(G10&gt;G9,G10-G9,0)</f>
        <v>0</v>
      </c>
      <c r="H11" s="3"/>
      <c r="J11" s="65" t="s">
        <v>202</v>
      </c>
      <c r="O11" s="10"/>
      <c r="P11" s="10"/>
      <c r="Q11" s="10"/>
      <c r="R11" s="10"/>
      <c r="S11" s="10"/>
      <c r="T11" s="10"/>
    </row>
    <row r="12" spans="2:10" ht="26.25" thickBot="1">
      <c r="B12" s="4"/>
      <c r="C12" s="20"/>
      <c r="D12" s="20"/>
      <c r="E12" s="20"/>
      <c r="F12" s="20"/>
      <c r="G12" s="20"/>
      <c r="H12" s="21"/>
      <c r="J12" s="65" t="s">
        <v>203</v>
      </c>
    </row>
    <row r="13" ht="12.75">
      <c r="J13" s="65" t="s">
        <v>204</v>
      </c>
    </row>
    <row r="14" ht="12.75"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</sheetData>
  <sheetProtection/>
  <mergeCells count="2"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125" style="1" customWidth="1"/>
    <col min="2" max="2" width="3.25390625" style="1" customWidth="1"/>
    <col min="3" max="3" width="7.25390625" style="12" bestFit="1" customWidth="1"/>
    <col min="4" max="4" width="36.25390625" style="12" customWidth="1"/>
    <col min="5" max="5" width="11.125" style="13" customWidth="1"/>
    <col min="6" max="6" width="9.625" style="13" customWidth="1"/>
    <col min="7" max="7" width="14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8.5" customHeight="1">
      <c r="B3" s="17"/>
      <c r="C3" s="67" t="str">
        <f>CONCATENATE("Показатели для расчета коэффициента эластичности поступления денежных средств в ",'Т10'!C4:G4)</f>
        <v>Показатели для расчета коэффициента эластичности поступления денежных средств в ЗАО "Стройэксперт"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7"/>
      <c r="D4" s="7"/>
      <c r="E4" s="7"/>
      <c r="F4" s="7"/>
      <c r="G4" s="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4.25">
      <c r="B5" s="19"/>
      <c r="C5" s="72" t="s">
        <v>10</v>
      </c>
      <c r="D5" s="72" t="s">
        <v>8</v>
      </c>
      <c r="E5" s="68">
        <f>'Т1'!E7</f>
        <v>2009</v>
      </c>
      <c r="F5" s="68">
        <f>'Т1'!F7</f>
        <v>2010</v>
      </c>
      <c r="G5" s="68" t="s">
        <v>15</v>
      </c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>
      <c r="B6" s="19"/>
      <c r="C6" s="73"/>
      <c r="D6" s="73"/>
      <c r="E6" s="68"/>
      <c r="F6" s="68"/>
      <c r="G6" s="68"/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125</v>
      </c>
      <c r="E7" s="25">
        <f>'Т2'!E10</f>
        <v>1450</v>
      </c>
      <c r="F7" s="25">
        <f>'Т2'!F10</f>
        <v>1529</v>
      </c>
      <c r="G7" s="25">
        <f>F7-E7</f>
        <v>79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126</v>
      </c>
      <c r="E8" s="25">
        <f>'Т2'!E9</f>
        <v>1502</v>
      </c>
      <c r="F8" s="25">
        <f>'Т2'!F9</f>
        <v>1604</v>
      </c>
      <c r="G8" s="25">
        <f>F8-E8</f>
        <v>102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2:10" ht="13.5" thickBot="1">
      <c r="B9" s="4"/>
      <c r="C9" s="20"/>
      <c r="D9" s="20"/>
      <c r="E9" s="20"/>
      <c r="F9" s="20"/>
      <c r="G9" s="20"/>
      <c r="H9" s="21"/>
      <c r="J9" s="65" t="s">
        <v>200</v>
      </c>
    </row>
    <row r="10" ht="12.75">
      <c r="J10" s="65" t="s">
        <v>201</v>
      </c>
    </row>
    <row r="11" ht="12.75">
      <c r="J11" s="65" t="s">
        <v>202</v>
      </c>
    </row>
    <row r="12" ht="25.5">
      <c r="J12" s="65" t="s">
        <v>203</v>
      </c>
    </row>
    <row r="13" ht="12.75">
      <c r="J13" s="65" t="s">
        <v>204</v>
      </c>
    </row>
    <row r="14" ht="12.75"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</sheetData>
  <sheetProtection/>
  <mergeCells count="6">
    <mergeCell ref="C3:G3"/>
    <mergeCell ref="C5:C6"/>
    <mergeCell ref="D5:D6"/>
    <mergeCell ref="E5:E6"/>
    <mergeCell ref="F5:F6"/>
    <mergeCell ref="G5:G6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125" style="1" customWidth="1"/>
    <col min="2" max="2" width="3.25390625" style="1" customWidth="1"/>
    <col min="3" max="3" width="10.875" style="12" customWidth="1"/>
    <col min="4" max="4" width="12.375" style="12" customWidth="1"/>
    <col min="5" max="5" width="19.00390625" style="13" customWidth="1"/>
    <col min="6" max="6" width="24.625" style="13" customWidth="1"/>
    <col min="7" max="7" width="12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9.25" customHeight="1">
      <c r="B3" s="17"/>
      <c r="C3" s="75" t="str">
        <f>CONCATENATE("Исходная информация для прогнозирования поступления денежных средств в ",'Т9'!C4:G4)</f>
        <v>Исходная информация для прогнозирования поступления денежных средств в ЗАО "Стройэксперт"</v>
      </c>
      <c r="D3" s="75"/>
      <c r="E3" s="75"/>
      <c r="F3" s="75"/>
      <c r="G3" s="75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7"/>
      <c r="D4" s="7"/>
      <c r="E4" s="7"/>
      <c r="F4" s="7"/>
      <c r="G4" s="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31.5">
      <c r="B5" s="19"/>
      <c r="C5" s="41" t="s">
        <v>127</v>
      </c>
      <c r="D5" s="41" t="s">
        <v>133</v>
      </c>
      <c r="E5" s="33" t="s">
        <v>128</v>
      </c>
      <c r="F5" s="33" t="s">
        <v>135</v>
      </c>
      <c r="G5" s="33" t="s">
        <v>136</v>
      </c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20" s="11" customFormat="1" ht="12.75">
      <c r="A6" s="31"/>
      <c r="B6" s="2"/>
      <c r="C6" s="42">
        <f aca="true" t="shared" si="0" ref="C6:C13">C7-1</f>
        <v>2001</v>
      </c>
      <c r="D6" s="23">
        <v>1</v>
      </c>
      <c r="E6" s="26">
        <v>930</v>
      </c>
      <c r="F6" s="26" t="s">
        <v>6</v>
      </c>
      <c r="G6" s="29" t="s">
        <v>6</v>
      </c>
      <c r="H6" s="3"/>
      <c r="J6" s="64" t="s">
        <v>197</v>
      </c>
      <c r="O6" s="10"/>
      <c r="P6" s="10"/>
      <c r="Q6" s="10"/>
      <c r="R6" s="10"/>
      <c r="S6" s="10"/>
      <c r="T6" s="10"/>
    </row>
    <row r="7" spans="1:20" s="11" customFormat="1" ht="12.75">
      <c r="A7" s="31"/>
      <c r="B7" s="2"/>
      <c r="C7" s="42">
        <f t="shared" si="0"/>
        <v>2002</v>
      </c>
      <c r="D7" s="23">
        <v>2</v>
      </c>
      <c r="E7" s="26">
        <v>953</v>
      </c>
      <c r="F7" s="25">
        <f>E7-E6</f>
        <v>23</v>
      </c>
      <c r="G7" s="43">
        <f>E7/E6</f>
        <v>1.0247311827956989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42">
        <f t="shared" si="0"/>
        <v>2003</v>
      </c>
      <c r="D8" s="23">
        <v>3</v>
      </c>
      <c r="E8" s="26">
        <v>1007</v>
      </c>
      <c r="F8" s="25">
        <f aca="true" t="shared" si="1" ref="F8:F15">E8-E7</f>
        <v>54</v>
      </c>
      <c r="G8" s="43">
        <f aca="true" t="shared" si="2" ref="G8:G15">E8/E7</f>
        <v>1.0566631689401889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42">
        <f t="shared" si="0"/>
        <v>2004</v>
      </c>
      <c r="D9" s="23">
        <v>4</v>
      </c>
      <c r="E9" s="26">
        <v>1075</v>
      </c>
      <c r="F9" s="25">
        <f t="shared" si="1"/>
        <v>68</v>
      </c>
      <c r="G9" s="43">
        <f t="shared" si="2"/>
        <v>1.067527308838133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42">
        <f t="shared" si="0"/>
        <v>2005</v>
      </c>
      <c r="D10" s="23">
        <v>5</v>
      </c>
      <c r="E10" s="26">
        <v>1149</v>
      </c>
      <c r="F10" s="25">
        <f t="shared" si="1"/>
        <v>74</v>
      </c>
      <c r="G10" s="43">
        <f t="shared" si="2"/>
        <v>1.0688372093023255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2.75">
      <c r="A11" s="31"/>
      <c r="B11" s="2"/>
      <c r="C11" s="42">
        <f t="shared" si="0"/>
        <v>2006</v>
      </c>
      <c r="D11" s="23">
        <v>6</v>
      </c>
      <c r="E11" s="26">
        <v>1243</v>
      </c>
      <c r="F11" s="25">
        <f t="shared" si="1"/>
        <v>94</v>
      </c>
      <c r="G11" s="43">
        <f t="shared" si="2"/>
        <v>1.081810269799826</v>
      </c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42">
        <f t="shared" si="0"/>
        <v>2007</v>
      </c>
      <c r="D12" s="23">
        <v>7</v>
      </c>
      <c r="E12" s="26">
        <v>1340</v>
      </c>
      <c r="F12" s="25">
        <f t="shared" si="1"/>
        <v>97</v>
      </c>
      <c r="G12" s="43">
        <f t="shared" si="2"/>
        <v>1.078037007240547</v>
      </c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12.75">
      <c r="A13" s="31"/>
      <c r="B13" s="2"/>
      <c r="C13" s="42">
        <f t="shared" si="0"/>
        <v>2008</v>
      </c>
      <c r="D13" s="23">
        <v>8</v>
      </c>
      <c r="E13" s="26">
        <v>1398</v>
      </c>
      <c r="F13" s="25">
        <f t="shared" si="1"/>
        <v>58</v>
      </c>
      <c r="G13" s="43">
        <f t="shared" si="2"/>
        <v>1.0432835820895523</v>
      </c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12.75">
      <c r="A14" s="31"/>
      <c r="B14" s="2"/>
      <c r="C14" s="42">
        <f>C15-1</f>
        <v>2009</v>
      </c>
      <c r="D14" s="23">
        <v>9</v>
      </c>
      <c r="E14" s="25">
        <f>'Т1'!E9</f>
        <v>1502</v>
      </c>
      <c r="F14" s="25">
        <f t="shared" si="1"/>
        <v>104</v>
      </c>
      <c r="G14" s="43">
        <f t="shared" si="2"/>
        <v>1.0743919885550788</v>
      </c>
      <c r="H14" s="3"/>
      <c r="J14" s="65" t="s">
        <v>205</v>
      </c>
      <c r="O14" s="10"/>
      <c r="P14" s="10"/>
      <c r="Q14" s="10"/>
      <c r="R14" s="10"/>
      <c r="S14" s="10"/>
      <c r="T14" s="10"/>
    </row>
    <row r="15" spans="1:20" s="11" customFormat="1" ht="12.75">
      <c r="A15" s="31"/>
      <c r="B15" s="2"/>
      <c r="C15" s="44">
        <f>'Т11'!F5</f>
        <v>2010</v>
      </c>
      <c r="D15" s="32">
        <v>10</v>
      </c>
      <c r="E15" s="45">
        <f>'Т1'!F9</f>
        <v>1604</v>
      </c>
      <c r="F15" s="45">
        <f t="shared" si="1"/>
        <v>102</v>
      </c>
      <c r="G15" s="46">
        <f t="shared" si="2"/>
        <v>1.0679094540612517</v>
      </c>
      <c r="H15" s="3"/>
      <c r="J15" s="65" t="s">
        <v>206</v>
      </c>
      <c r="O15" s="10"/>
      <c r="P15" s="10"/>
      <c r="Q15" s="10"/>
      <c r="R15" s="10"/>
      <c r="S15" s="10"/>
      <c r="T15" s="10"/>
    </row>
    <row r="16" spans="1:20" s="11" customFormat="1" ht="12.75">
      <c r="A16" s="31"/>
      <c r="B16" s="2"/>
      <c r="C16" s="49"/>
      <c r="D16" s="49"/>
      <c r="E16" s="50"/>
      <c r="F16" s="50"/>
      <c r="G16" s="51"/>
      <c r="H16" s="3"/>
      <c r="J16" s="65" t="s">
        <v>207</v>
      </c>
      <c r="O16" s="10"/>
      <c r="P16" s="10"/>
      <c r="Q16" s="10"/>
      <c r="R16" s="10"/>
      <c r="S16" s="10"/>
      <c r="T16" s="10"/>
    </row>
    <row r="17" spans="1:20" s="11" customFormat="1" ht="25.5">
      <c r="A17" s="31"/>
      <c r="B17" s="2"/>
      <c r="C17" s="76" t="s">
        <v>129</v>
      </c>
      <c r="D17" s="76"/>
      <c r="E17" s="76"/>
      <c r="F17" s="52">
        <f>AVERAGE(F7:F15)</f>
        <v>74.88888888888889</v>
      </c>
      <c r="G17" s="47"/>
      <c r="H17" s="3"/>
      <c r="J17" s="65" t="s">
        <v>208</v>
      </c>
      <c r="O17" s="10"/>
      <c r="P17" s="10"/>
      <c r="Q17" s="10"/>
      <c r="R17" s="10"/>
      <c r="S17" s="10"/>
      <c r="T17" s="10"/>
    </row>
    <row r="18" spans="1:20" s="11" customFormat="1" ht="25.5">
      <c r="A18" s="31"/>
      <c r="B18" s="2"/>
      <c r="C18" s="77" t="s">
        <v>130</v>
      </c>
      <c r="D18" s="77"/>
      <c r="E18" s="77"/>
      <c r="F18" s="53">
        <f>AVERAGE(G7:G15)</f>
        <v>1.0625767968469557</v>
      </c>
      <c r="G18" s="48"/>
      <c r="H18" s="3"/>
      <c r="J18" s="64" t="s">
        <v>209</v>
      </c>
      <c r="O18" s="10"/>
      <c r="P18" s="10"/>
      <c r="Q18" s="10"/>
      <c r="R18" s="10"/>
      <c r="S18" s="10"/>
      <c r="T18" s="10"/>
    </row>
    <row r="19" spans="2:10" ht="26.25" thickBot="1">
      <c r="B19" s="4"/>
      <c r="C19" s="20"/>
      <c r="D19" s="20"/>
      <c r="E19" s="20"/>
      <c r="F19" s="20"/>
      <c r="G19" s="20"/>
      <c r="H19" s="21"/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  <row r="24" ht="10.5"/>
  </sheetData>
  <sheetProtection/>
  <mergeCells count="3">
    <mergeCell ref="C17:E17"/>
    <mergeCell ref="C18:E18"/>
    <mergeCell ref="C3:G3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875" style="1" customWidth="1"/>
    <col min="2" max="2" width="3.25390625" style="1" customWidth="1"/>
    <col min="3" max="3" width="14.25390625" style="12" customWidth="1"/>
    <col min="4" max="4" width="15.625" style="12" customWidth="1"/>
    <col min="5" max="5" width="23.125" style="13" customWidth="1"/>
    <col min="6" max="6" width="24.625" style="13" customWidth="1"/>
    <col min="7" max="7" width="3.00390625" style="1" customWidth="1"/>
    <col min="8" max="8" width="2.75390625" style="1" customWidth="1"/>
    <col min="9" max="9" width="79.125" style="66" customWidth="1"/>
    <col min="10" max="10" width="2.75390625" style="1" customWidth="1"/>
    <col min="11" max="11" width="6.625" style="1" bestFit="1" customWidth="1"/>
    <col min="12" max="13" width="2.75390625" style="1" customWidth="1"/>
    <col min="14" max="18" width="3.25390625" style="1" bestFit="1" customWidth="1"/>
    <col min="19" max="19" width="4.75390625" style="1" bestFit="1" customWidth="1"/>
    <col min="20" max="16384" width="2.75390625" style="1" customWidth="1"/>
  </cols>
  <sheetData>
    <row r="1" spans="2:12" ht="11.25" thickBot="1">
      <c r="B1" s="5" t="s">
        <v>2</v>
      </c>
      <c r="C1" s="5"/>
      <c r="D1" s="5"/>
      <c r="E1" s="5"/>
      <c r="F1" s="30"/>
      <c r="G1" s="5"/>
      <c r="H1" s="5"/>
      <c r="I1" s="63"/>
      <c r="J1" s="5"/>
      <c r="K1" s="5"/>
      <c r="L1" s="5"/>
    </row>
    <row r="2" spans="2:37" ht="18">
      <c r="B2" s="14"/>
      <c r="C2" s="15"/>
      <c r="D2" s="15"/>
      <c r="E2" s="15"/>
      <c r="F2" s="15"/>
      <c r="G2" s="16"/>
      <c r="I2" s="64" t="s">
        <v>193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ht="27.75" customHeight="1">
      <c r="B3" s="17"/>
      <c r="C3" s="75" t="str">
        <f>CONCATENATE("Расчетная таблица прогнозных значений поступления денежных средств в ",'Т9'!C4:G4," за ",C7,"-",C12," годы")</f>
        <v>Расчетная таблица прогнозных значений поступления денежных средств в ЗАО "Стройэксперт" за 2011-2016 годы</v>
      </c>
      <c r="D3" s="75"/>
      <c r="E3" s="75"/>
      <c r="F3" s="75"/>
      <c r="G3" s="18"/>
      <c r="I3" s="64" t="s">
        <v>194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8">
      <c r="B4" s="17"/>
      <c r="C4" s="7"/>
      <c r="D4" s="7"/>
      <c r="E4" s="7"/>
      <c r="F4" s="7"/>
      <c r="G4" s="18"/>
      <c r="I4" s="64" t="s">
        <v>195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ht="14.25">
      <c r="B5" s="19"/>
      <c r="C5" s="78" t="s">
        <v>127</v>
      </c>
      <c r="D5" s="78" t="s">
        <v>133</v>
      </c>
      <c r="E5" s="69" t="s">
        <v>134</v>
      </c>
      <c r="F5" s="71"/>
      <c r="G5" s="18"/>
      <c r="I5" s="64" t="s">
        <v>196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37" ht="21">
      <c r="B6" s="19"/>
      <c r="C6" s="79"/>
      <c r="D6" s="79"/>
      <c r="E6" s="33" t="s">
        <v>131</v>
      </c>
      <c r="F6" s="33" t="s">
        <v>132</v>
      </c>
      <c r="G6" s="18"/>
      <c r="I6" s="64" t="s">
        <v>197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19" s="11" customFormat="1" ht="12.75">
      <c r="A7" s="31"/>
      <c r="B7" s="2"/>
      <c r="C7" s="42">
        <f>'Т12'!C15+1</f>
        <v>2011</v>
      </c>
      <c r="D7" s="42">
        <f>'Т12'!D15+1</f>
        <v>11</v>
      </c>
      <c r="E7" s="25">
        <f>'Т12'!$E$6+'Т12'!$F$17*COUNT('Т12'!$E$7:$E$15,$D$7:D7)</f>
        <v>1678.888888888889</v>
      </c>
      <c r="F7" s="25">
        <f>'Т12'!$E$6*POWER('Т12'!$F$18,COUNT('Т12'!$F$7:$F$15,$D$7:D7))</f>
        <v>1706.4211678320405</v>
      </c>
      <c r="G7" s="3"/>
      <c r="I7" s="64" t="s">
        <v>198</v>
      </c>
      <c r="N7" s="10"/>
      <c r="O7" s="10"/>
      <c r="P7" s="10"/>
      <c r="Q7" s="10"/>
      <c r="R7" s="10"/>
      <c r="S7" s="10"/>
    </row>
    <row r="8" spans="1:19" s="11" customFormat="1" ht="12.75">
      <c r="A8" s="31"/>
      <c r="B8" s="2"/>
      <c r="C8" s="42">
        <f aca="true" t="shared" si="0" ref="C8:D12">C7+1</f>
        <v>2012</v>
      </c>
      <c r="D8" s="42">
        <f t="shared" si="0"/>
        <v>12</v>
      </c>
      <c r="E8" s="25">
        <f>'Т12'!$E$6+'Т12'!$F$17*COUNT('Т12'!$E$7:$E$15,$D$7:D8)</f>
        <v>1753.7777777777778</v>
      </c>
      <c r="F8" s="25">
        <f>'Т12'!$E$6*POWER('Т12'!$F$18,COUNT('Т12'!$F$7:$F$15,$D$7:D8))</f>
        <v>1813.2035385868112</v>
      </c>
      <c r="G8" s="3"/>
      <c r="I8" s="65" t="s">
        <v>199</v>
      </c>
      <c r="N8" s="10"/>
      <c r="O8" s="10"/>
      <c r="P8" s="10"/>
      <c r="Q8" s="10"/>
      <c r="R8" s="10"/>
      <c r="S8" s="10"/>
    </row>
    <row r="9" spans="1:19" s="11" customFormat="1" ht="12.75">
      <c r="A9" s="31"/>
      <c r="B9" s="2"/>
      <c r="C9" s="42">
        <f t="shared" si="0"/>
        <v>2013</v>
      </c>
      <c r="D9" s="42">
        <f t="shared" si="0"/>
        <v>13</v>
      </c>
      <c r="E9" s="25">
        <f>'Т12'!$E$6+'Т12'!$F$17*COUNT('Т12'!$E$7:$E$15,$D$7:D9)</f>
        <v>1828.6666666666665</v>
      </c>
      <c r="F9" s="25">
        <f>'Т12'!$E$6*POWER('Т12'!$F$18,COUNT('Т12'!$F$7:$F$15,$D$7:D9))</f>
        <v>1926.6680080631395</v>
      </c>
      <c r="G9" s="3"/>
      <c r="I9" s="65" t="s">
        <v>200</v>
      </c>
      <c r="N9" s="10"/>
      <c r="O9" s="10"/>
      <c r="P9" s="10"/>
      <c r="Q9" s="10"/>
      <c r="R9" s="10"/>
      <c r="S9" s="10"/>
    </row>
    <row r="10" spans="1:19" s="11" customFormat="1" ht="12.75">
      <c r="A10" s="31"/>
      <c r="B10" s="2"/>
      <c r="C10" s="42">
        <f t="shared" si="0"/>
        <v>2014</v>
      </c>
      <c r="D10" s="42">
        <f t="shared" si="0"/>
        <v>14</v>
      </c>
      <c r="E10" s="25">
        <f>'Т12'!$E$6+'Т12'!$F$17*COUNT('Т12'!$E$7:$E$15,$D$7:D10)</f>
        <v>1903.5555555555557</v>
      </c>
      <c r="F10" s="25">
        <f>'Т12'!$E$6*POWER('Т12'!$F$18,COUNT('Т12'!$F$7:$F$15,$D$7:D10))</f>
        <v>2047.2327205952352</v>
      </c>
      <c r="G10" s="3"/>
      <c r="I10" s="65" t="s">
        <v>201</v>
      </c>
      <c r="N10" s="10"/>
      <c r="O10" s="10"/>
      <c r="P10" s="10"/>
      <c r="Q10" s="10"/>
      <c r="R10" s="10"/>
      <c r="S10" s="10"/>
    </row>
    <row r="11" spans="1:19" s="11" customFormat="1" ht="12.75">
      <c r="A11" s="31"/>
      <c r="B11" s="2"/>
      <c r="C11" s="42">
        <f t="shared" si="0"/>
        <v>2015</v>
      </c>
      <c r="D11" s="42">
        <f t="shared" si="0"/>
        <v>15</v>
      </c>
      <c r="E11" s="25">
        <f>'Т12'!$E$6+'Т12'!$F$17*COUNT('Т12'!$E$7:$E$15,$D$7:D11)</f>
        <v>1978.4444444444443</v>
      </c>
      <c r="F11" s="25">
        <f>'Т12'!$E$6*POWER('Т12'!$F$18,COUNT('Т12'!$F$7:$F$15,$D$7:D11))</f>
        <v>2175.3419866503637</v>
      </c>
      <c r="G11" s="3"/>
      <c r="I11" s="65" t="s">
        <v>202</v>
      </c>
      <c r="N11" s="10"/>
      <c r="O11" s="10"/>
      <c r="P11" s="10"/>
      <c r="Q11" s="10"/>
      <c r="R11" s="10"/>
      <c r="S11" s="10"/>
    </row>
    <row r="12" spans="1:19" s="11" customFormat="1" ht="25.5">
      <c r="A12" s="31"/>
      <c r="B12" s="2"/>
      <c r="C12" s="42">
        <f t="shared" si="0"/>
        <v>2016</v>
      </c>
      <c r="D12" s="42">
        <f t="shared" si="0"/>
        <v>16</v>
      </c>
      <c r="E12" s="25">
        <f>'Т12'!$E$6+'Т12'!$F$17*COUNT('Т12'!$E$7:$E$15,$D$7:D12)</f>
        <v>2053.333333333333</v>
      </c>
      <c r="F12" s="25">
        <f>'Т12'!$E$6*POWER('Т12'!$F$18,COUNT('Т12'!$F$7:$F$15,$D$7:D12))</f>
        <v>2311.4679202216366</v>
      </c>
      <c r="G12" s="3"/>
      <c r="I12" s="65" t="s">
        <v>203</v>
      </c>
      <c r="N12" s="10"/>
      <c r="O12" s="10"/>
      <c r="P12" s="10"/>
      <c r="Q12" s="10"/>
      <c r="R12" s="10"/>
      <c r="S12" s="10"/>
    </row>
    <row r="13" spans="1:19" s="11" customFormat="1" ht="12.75">
      <c r="A13" s="31"/>
      <c r="B13" s="2"/>
      <c r="C13" s="23" t="s">
        <v>27</v>
      </c>
      <c r="D13" s="23"/>
      <c r="E13" s="26"/>
      <c r="F13" s="25"/>
      <c r="G13" s="3"/>
      <c r="I13" s="65" t="s">
        <v>204</v>
      </c>
      <c r="N13" s="10"/>
      <c r="O13" s="10"/>
      <c r="P13" s="10"/>
      <c r="Q13" s="10"/>
      <c r="R13" s="10"/>
      <c r="S13" s="10"/>
    </row>
    <row r="14" spans="1:19" s="11" customFormat="1" ht="12.75">
      <c r="A14" s="31"/>
      <c r="B14" s="2"/>
      <c r="C14" s="42"/>
      <c r="D14" s="23"/>
      <c r="E14" s="26"/>
      <c r="F14" s="25"/>
      <c r="G14" s="3"/>
      <c r="I14" s="65" t="s">
        <v>205</v>
      </c>
      <c r="N14" s="10"/>
      <c r="O14" s="10"/>
      <c r="P14" s="10"/>
      <c r="Q14" s="10"/>
      <c r="R14" s="10"/>
      <c r="S14" s="10"/>
    </row>
    <row r="15" spans="2:9" ht="13.5" thickBot="1">
      <c r="B15" s="4"/>
      <c r="C15" s="20"/>
      <c r="D15" s="20"/>
      <c r="E15" s="20"/>
      <c r="F15" s="20"/>
      <c r="G15" s="21"/>
      <c r="I15" s="65" t="s">
        <v>206</v>
      </c>
    </row>
    <row r="16" ht="12.75">
      <c r="I16" s="65" t="s">
        <v>207</v>
      </c>
    </row>
    <row r="17" ht="25.5">
      <c r="I17" s="65" t="s">
        <v>208</v>
      </c>
    </row>
    <row r="18" ht="25.5">
      <c r="I18" s="64" t="s">
        <v>209</v>
      </c>
    </row>
    <row r="19" ht="25.5">
      <c r="I19" s="64" t="s">
        <v>210</v>
      </c>
    </row>
    <row r="20" ht="25.5">
      <c r="I20" s="64" t="s">
        <v>211</v>
      </c>
    </row>
    <row r="21" ht="25.5">
      <c r="I21" s="64" t="s">
        <v>212</v>
      </c>
    </row>
    <row r="22" ht="12.75">
      <c r="I22" s="64" t="s">
        <v>213</v>
      </c>
    </row>
  </sheetData>
  <sheetProtection/>
  <mergeCells count="4">
    <mergeCell ref="C3:F3"/>
    <mergeCell ref="C5:C6"/>
    <mergeCell ref="D5:D6"/>
    <mergeCell ref="E5:F5"/>
  </mergeCells>
  <hyperlinks>
    <hyperlink ref="I2" location="Т1!A1" display="Т-1 Анализ движения денежных средств"/>
    <hyperlink ref="I3" location="Т2!A1" display="Т-2 Структура притока и оттока денежных средств"/>
    <hyperlink ref="I4" location="Т3!A1" display="Т-3 Анализ коэффициентов ликвидности"/>
    <hyperlink ref="I5" location="Т4!A1" display="Т-4 Анализ коэффициентов платежеспособности"/>
    <hyperlink ref="I6" location="Т5!A1" display="Т-5 Анализ чистого денежного потока"/>
    <hyperlink ref="I7" location="Т6!A1" display="Т-6 Анализ дебиторской и кредиторской задолженности"/>
    <hyperlink ref="I8" location="Т7!A1" display="Т-7 Сравнение дебиторской и кредиторской задолженности "/>
    <hyperlink ref="I9" location="Т8!A1" display="Т-8 Прогнозирование динамики денежных поступлений"/>
    <hyperlink ref="I10" location="Т9!A1" display="Т-9 Прогнозируемый бюджет денежных средств"/>
    <hyperlink ref="I11" location="Т10!A1" display="Т-10 Расчет объема требуемого краткосрочного финансирования "/>
    <hyperlink ref="I12" location="Т11!A1" display="Т-11 Показатели для расчета коэффициента эластичности поступления денежных средств"/>
    <hyperlink ref="I13" location="Т12!A1" display="Т-12 Исходная информация для прогнозирования поступления денежных средств"/>
    <hyperlink ref="I14" location="Т13!A1" display="Т-13 Расчетная таблица прогнозных значений поступления денежных средств"/>
    <hyperlink ref="I15" location="Т14!A1" display="Т-14 Расчет показателей финансовой устойчивости деятельности"/>
    <hyperlink ref="I16" location="Т15!A1" display="Т-15 Факторы, оказывающие влияние на изменение чистого денежного потока"/>
    <hyperlink ref="I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I18" location="Т17!A1" display="Т-17 Расчет влияния факторов на изменение чистого денежного потока от операционной деятельности"/>
    <hyperlink ref="I19" location="Т18!A1" display="Т-18 Факторы, оказывающие влияние на изменение чистого денежного потока по финансовой деятельности"/>
    <hyperlink ref="I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I21" location="Т20!A1" display="Т-20 Расчет влияния факторов на изменение чистого денежного потока от операционной деятельности"/>
    <hyperlink ref="I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M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625" style="1" customWidth="1"/>
    <col min="2" max="2" width="3.25390625" style="1" customWidth="1"/>
    <col min="3" max="3" width="7.25390625" style="12" bestFit="1" customWidth="1"/>
    <col min="4" max="4" width="36.25390625" style="12" customWidth="1"/>
    <col min="5" max="5" width="11.125" style="13" customWidth="1"/>
    <col min="6" max="7" width="9.625" style="13" customWidth="1"/>
    <col min="8" max="8" width="14.00390625" style="13" customWidth="1"/>
    <col min="9" max="9" width="3.00390625" style="1" customWidth="1"/>
    <col min="10" max="10" width="2.75390625" style="1" customWidth="1"/>
    <col min="11" max="11" width="79.125" style="66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1.25" thickBot="1">
      <c r="B1" s="5" t="s">
        <v>2</v>
      </c>
      <c r="C1" s="5"/>
      <c r="D1" s="5"/>
      <c r="E1" s="5"/>
      <c r="F1" s="30"/>
      <c r="G1" s="30"/>
      <c r="H1" s="5"/>
      <c r="I1" s="5"/>
      <c r="J1" s="5"/>
      <c r="K1" s="63"/>
      <c r="L1" s="5"/>
      <c r="M1" s="5"/>
      <c r="N1" s="5"/>
    </row>
    <row r="2" spans="2:39" ht="18">
      <c r="B2" s="14"/>
      <c r="C2" s="15"/>
      <c r="D2" s="15"/>
      <c r="E2" s="15"/>
      <c r="F2" s="15"/>
      <c r="G2" s="15"/>
      <c r="H2" s="15"/>
      <c r="I2" s="16"/>
      <c r="K2" s="64" t="s">
        <v>193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27" customHeight="1">
      <c r="B3" s="17"/>
      <c r="C3" s="67" t="str">
        <f>CONCATENATE("Расчет показателей финансовой устойчивости деятельности  ",'Т10'!C4:G4)</f>
        <v>Расчет показателей финансовой устойчивости деятельности  ЗАО "Стройэксперт"</v>
      </c>
      <c r="D3" s="67"/>
      <c r="E3" s="67"/>
      <c r="F3" s="67"/>
      <c r="G3" s="67"/>
      <c r="H3" s="67"/>
      <c r="I3" s="18"/>
      <c r="K3" s="64" t="s">
        <v>194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18">
      <c r="B4" s="17"/>
      <c r="C4" s="7"/>
      <c r="D4" s="7"/>
      <c r="E4" s="7"/>
      <c r="F4" s="7"/>
      <c r="G4" s="7"/>
      <c r="H4" s="7"/>
      <c r="I4" s="18"/>
      <c r="K4" s="64" t="s">
        <v>195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14.25">
      <c r="B5" s="19"/>
      <c r="C5" s="72" t="s">
        <v>10</v>
      </c>
      <c r="D5" s="72" t="s">
        <v>8</v>
      </c>
      <c r="E5" s="69" t="s">
        <v>127</v>
      </c>
      <c r="F5" s="71"/>
      <c r="G5" s="80" t="s">
        <v>15</v>
      </c>
      <c r="H5" s="80" t="s">
        <v>13</v>
      </c>
      <c r="I5" s="18"/>
      <c r="K5" s="64" t="s">
        <v>196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39" ht="14.25">
      <c r="B6" s="19"/>
      <c r="C6" s="73"/>
      <c r="D6" s="73"/>
      <c r="E6" s="34">
        <f>'Т11'!E5</f>
        <v>2009</v>
      </c>
      <c r="F6" s="34">
        <f>'Т11'!F5</f>
        <v>2010</v>
      </c>
      <c r="G6" s="81"/>
      <c r="H6" s="81"/>
      <c r="I6" s="18"/>
      <c r="K6" s="64" t="s">
        <v>197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21" s="11" customFormat="1" ht="12.75">
      <c r="A7" s="31"/>
      <c r="B7" s="2"/>
      <c r="C7" s="23">
        <v>1</v>
      </c>
      <c r="D7" s="9" t="s">
        <v>137</v>
      </c>
      <c r="E7" s="25">
        <f>'Т5'!E7</f>
        <v>50</v>
      </c>
      <c r="F7" s="25">
        <f>'Т5'!F7</f>
        <v>60</v>
      </c>
      <c r="G7" s="25">
        <f>F7-E7</f>
        <v>10</v>
      </c>
      <c r="H7" s="27">
        <f>F7/E7</f>
        <v>1.2</v>
      </c>
      <c r="I7" s="3"/>
      <c r="K7" s="64" t="s">
        <v>198</v>
      </c>
      <c r="P7" s="10"/>
      <c r="Q7" s="10"/>
      <c r="R7" s="10"/>
      <c r="S7" s="10"/>
      <c r="T7" s="10"/>
      <c r="U7" s="10"/>
    </row>
    <row r="8" spans="1:21" s="11" customFormat="1" ht="12.75">
      <c r="A8" s="31"/>
      <c r="B8" s="2"/>
      <c r="C8" s="23">
        <v>2</v>
      </c>
      <c r="D8" s="9" t="s">
        <v>138</v>
      </c>
      <c r="E8" s="26">
        <v>1100</v>
      </c>
      <c r="F8" s="26">
        <v>1176</v>
      </c>
      <c r="G8" s="25">
        <f>F8-E8</f>
        <v>76</v>
      </c>
      <c r="H8" s="27">
        <f>F8/E8</f>
        <v>1.069090909090909</v>
      </c>
      <c r="I8" s="3"/>
      <c r="K8" s="65" t="s">
        <v>199</v>
      </c>
      <c r="P8" s="10"/>
      <c r="Q8" s="10"/>
      <c r="R8" s="10"/>
      <c r="S8" s="10"/>
      <c r="T8" s="10"/>
      <c r="U8" s="10"/>
    </row>
    <row r="9" spans="1:21" s="11" customFormat="1" ht="12.75">
      <c r="A9" s="31"/>
      <c r="B9" s="2"/>
      <c r="C9" s="23">
        <v>3</v>
      </c>
      <c r="D9" s="9" t="s">
        <v>125</v>
      </c>
      <c r="E9" s="25">
        <f>'Т11'!E7</f>
        <v>1450</v>
      </c>
      <c r="F9" s="25">
        <f>'Т11'!F7</f>
        <v>1529</v>
      </c>
      <c r="G9" s="25">
        <f>F9-E9</f>
        <v>79</v>
      </c>
      <c r="H9" s="27">
        <f>F9/E9</f>
        <v>1.0544827586206897</v>
      </c>
      <c r="I9" s="3"/>
      <c r="K9" s="65" t="s">
        <v>200</v>
      </c>
      <c r="P9" s="10"/>
      <c r="Q9" s="10"/>
      <c r="R9" s="10"/>
      <c r="S9" s="10"/>
      <c r="T9" s="10"/>
      <c r="U9" s="10"/>
    </row>
    <row r="10" spans="2:11" ht="13.5" thickBot="1">
      <c r="B10" s="4"/>
      <c r="C10" s="20"/>
      <c r="D10" s="20"/>
      <c r="E10" s="20"/>
      <c r="F10" s="20"/>
      <c r="G10" s="20"/>
      <c r="H10" s="20"/>
      <c r="I10" s="21"/>
      <c r="K10" s="65" t="s">
        <v>201</v>
      </c>
    </row>
    <row r="11" ht="12.75">
      <c r="K11" s="65" t="s">
        <v>202</v>
      </c>
    </row>
    <row r="12" ht="25.5">
      <c r="K12" s="65" t="s">
        <v>203</v>
      </c>
    </row>
    <row r="13" ht="12.75">
      <c r="K13" s="65" t="s">
        <v>204</v>
      </c>
    </row>
    <row r="14" ht="12.75">
      <c r="K14" s="65" t="s">
        <v>205</v>
      </c>
    </row>
    <row r="15" ht="12.75">
      <c r="K15" s="65" t="s">
        <v>206</v>
      </c>
    </row>
    <row r="16" ht="12.75">
      <c r="K16" s="65" t="s">
        <v>207</v>
      </c>
    </row>
    <row r="17" ht="25.5">
      <c r="K17" s="65" t="s">
        <v>208</v>
      </c>
    </row>
    <row r="18" ht="25.5">
      <c r="K18" s="64" t="s">
        <v>209</v>
      </c>
    </row>
    <row r="19" ht="25.5">
      <c r="K19" s="64" t="s">
        <v>210</v>
      </c>
    </row>
    <row r="20" ht="25.5">
      <c r="K20" s="64" t="s">
        <v>211</v>
      </c>
    </row>
    <row r="21" ht="25.5">
      <c r="K21" s="64" t="s">
        <v>212</v>
      </c>
    </row>
    <row r="22" ht="12.75">
      <c r="K22" s="64" t="s">
        <v>213</v>
      </c>
    </row>
  </sheetData>
  <sheetProtection/>
  <mergeCells count="6">
    <mergeCell ref="C3:H3"/>
    <mergeCell ref="C5:C6"/>
    <mergeCell ref="D5:D6"/>
    <mergeCell ref="H5:H6"/>
    <mergeCell ref="G5:G6"/>
    <mergeCell ref="E5:F5"/>
  </mergeCells>
  <hyperlinks>
    <hyperlink ref="K2" location="Т1!A1" display="Т-1 Анализ движения денежных средств"/>
    <hyperlink ref="K3" location="Т2!A1" display="Т-2 Структура притока и оттока денежных средств"/>
    <hyperlink ref="K4" location="Т3!A1" display="Т-3 Анализ коэффициентов ликвидности"/>
    <hyperlink ref="K5" location="Т4!A1" display="Т-4 Анализ коэффициентов платежеспособности"/>
    <hyperlink ref="K6" location="Т5!A1" display="Т-5 Анализ чистого денежного потока"/>
    <hyperlink ref="K7" location="Т6!A1" display="Т-6 Анализ дебиторской и кредиторской задолженности"/>
    <hyperlink ref="K8" location="Т7!A1" display="Т-7 Сравнение дебиторской и кредиторской задолженности "/>
    <hyperlink ref="K9" location="Т8!A1" display="Т-8 Прогнозирование динамики денежных поступлений"/>
    <hyperlink ref="K10" location="Т9!A1" display="Т-9 Прогнозируемый бюджет денежных средств"/>
    <hyperlink ref="K11" location="Т10!A1" display="Т-10 Расчет объема требуемого краткосрочного финансирования "/>
    <hyperlink ref="K12" location="Т11!A1" display="Т-11 Показатели для расчета коэффициента эластичности поступления денежных средств"/>
    <hyperlink ref="K13" location="Т12!A1" display="Т-12 Исходная информация для прогнозирования поступления денежных средств"/>
    <hyperlink ref="K14" location="Т13!A1" display="Т-13 Расчетная таблица прогнозных значений поступления денежных средств"/>
    <hyperlink ref="K15" location="Т14!A1" display="Т-14 Расчет показателей финансовой устойчивости деятельности"/>
    <hyperlink ref="K16" location="Т15!A1" display="Т-15 Факторы, оказывающие влияние на изменение чистого денежного потока"/>
    <hyperlink ref="K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K18" location="Т17!A1" display="Т-17 Расчет влияния факторов на изменение чистого денежного потока от операционной деятельности"/>
    <hyperlink ref="K19" location="Т18!A1" display="Т-18 Факторы, оказывающие влияние на изменение чистого денежного потока по финансовой деятельности"/>
    <hyperlink ref="K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K21" location="Т20!A1" display="Т-20 Расчет влияния факторов на изменение чистого денежного потока от операционной деятельности"/>
    <hyperlink ref="K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375" style="1" customWidth="1"/>
    <col min="2" max="2" width="3.25390625" style="1" customWidth="1"/>
    <col min="3" max="3" width="7.25390625" style="12" bestFit="1" customWidth="1"/>
    <col min="4" max="4" width="46.25390625" style="12" customWidth="1"/>
    <col min="5" max="5" width="11.125" style="13" customWidth="1"/>
    <col min="6" max="6" width="10.875" style="13" customWidth="1"/>
    <col min="7" max="7" width="10.75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30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35.25" customHeight="1">
      <c r="B3" s="17"/>
      <c r="C3" s="67" t="str">
        <f>CONCATENATE("Факторы, оказывающие влияние на изменение чистого денежного потока в ",'Т10'!C4:G4)</f>
        <v>Факторы, оказывающие влияние на изменение чистого денежного потока в ЗАО "Стройэксперт"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7"/>
      <c r="D4" s="7"/>
      <c r="E4" s="7"/>
      <c r="F4" s="7"/>
      <c r="G4" s="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4.25">
      <c r="B5" s="19"/>
      <c r="C5" s="72" t="s">
        <v>10</v>
      </c>
      <c r="D5" s="72" t="s">
        <v>8</v>
      </c>
      <c r="E5" s="82" t="s">
        <v>127</v>
      </c>
      <c r="F5" s="83"/>
      <c r="G5" s="80" t="s">
        <v>15</v>
      </c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>
      <c r="B6" s="19"/>
      <c r="C6" s="73"/>
      <c r="D6" s="73"/>
      <c r="E6" s="34">
        <f>'Т11'!E5</f>
        <v>2009</v>
      </c>
      <c r="F6" s="34">
        <f>'Т11'!F5</f>
        <v>2010</v>
      </c>
      <c r="G6" s="81"/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139</v>
      </c>
      <c r="E7" s="25">
        <f>'Т2'!E10</f>
        <v>1450</v>
      </c>
      <c r="F7" s="25">
        <f>'Т2'!F10</f>
        <v>1529</v>
      </c>
      <c r="G7" s="25">
        <f>F7-E7</f>
        <v>79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140</v>
      </c>
      <c r="E8" s="25">
        <f>'Т2'!E13</f>
        <v>8</v>
      </c>
      <c r="F8" s="25">
        <f>'Т2'!F13</f>
        <v>15</v>
      </c>
      <c r="G8" s="25">
        <f aca="true" t="shared" si="0" ref="G8:G14">F8-E8</f>
        <v>7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25.5">
      <c r="A9" s="31"/>
      <c r="B9" s="2"/>
      <c r="C9" s="23">
        <v>3</v>
      </c>
      <c r="D9" s="9" t="s">
        <v>141</v>
      </c>
      <c r="E9" s="25">
        <f>'Т2'!E17</f>
        <v>32</v>
      </c>
      <c r="F9" s="25">
        <f>'Т2'!F17</f>
        <v>37</v>
      </c>
      <c r="G9" s="25">
        <f t="shared" si="0"/>
        <v>5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25.5">
      <c r="A10" s="31"/>
      <c r="B10" s="2"/>
      <c r="C10" s="23">
        <v>4</v>
      </c>
      <c r="D10" s="9" t="s">
        <v>142</v>
      </c>
      <c r="E10" s="25">
        <f>'Т2'!E19</f>
        <v>49</v>
      </c>
      <c r="F10" s="25">
        <f>'Т2'!F19</f>
        <v>25</v>
      </c>
      <c r="G10" s="25">
        <f t="shared" si="0"/>
        <v>-24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2.75">
      <c r="A11" s="31"/>
      <c r="B11" s="2"/>
      <c r="C11" s="23">
        <v>5</v>
      </c>
      <c r="D11" s="9" t="s">
        <v>143</v>
      </c>
      <c r="E11" s="25">
        <f>'Т2'!E20</f>
        <v>796</v>
      </c>
      <c r="F11" s="25">
        <f>'Т2'!F20</f>
        <v>820</v>
      </c>
      <c r="G11" s="25">
        <f t="shared" si="0"/>
        <v>24</v>
      </c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23">
        <v>6</v>
      </c>
      <c r="D12" s="9" t="s">
        <v>144</v>
      </c>
      <c r="E12" s="25">
        <f>'Т2'!E21</f>
        <v>330</v>
      </c>
      <c r="F12" s="25">
        <f>'Т2'!F21</f>
        <v>369</v>
      </c>
      <c r="G12" s="25">
        <f t="shared" si="0"/>
        <v>39</v>
      </c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25.5">
      <c r="A13" s="31"/>
      <c r="B13" s="2"/>
      <c r="C13" s="23">
        <v>7</v>
      </c>
      <c r="D13" s="9" t="s">
        <v>145</v>
      </c>
      <c r="E13" s="25">
        <f>'Т2'!E26</f>
        <v>290</v>
      </c>
      <c r="F13" s="25">
        <f>'Т2'!F26</f>
        <v>378</v>
      </c>
      <c r="G13" s="25">
        <f t="shared" si="0"/>
        <v>88</v>
      </c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25.5">
      <c r="A14" s="31"/>
      <c r="B14" s="2"/>
      <c r="C14" s="23">
        <v>8</v>
      </c>
      <c r="D14" s="9" t="s">
        <v>146</v>
      </c>
      <c r="E14" s="25">
        <v>-57</v>
      </c>
      <c r="F14" s="25">
        <v>-102</v>
      </c>
      <c r="G14" s="25">
        <f t="shared" si="0"/>
        <v>-45</v>
      </c>
      <c r="H14" s="3"/>
      <c r="J14" s="65" t="s">
        <v>205</v>
      </c>
      <c r="O14" s="10"/>
      <c r="P14" s="10"/>
      <c r="Q14" s="10"/>
      <c r="R14" s="10"/>
      <c r="S14" s="10"/>
      <c r="T14" s="10"/>
    </row>
    <row r="15" spans="2:10" ht="13.5" thickBot="1">
      <c r="B15" s="4"/>
      <c r="C15" s="20"/>
      <c r="D15" s="20"/>
      <c r="E15" s="20"/>
      <c r="F15" s="20"/>
      <c r="G15" s="20"/>
      <c r="H15" s="21"/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</sheetData>
  <sheetProtection/>
  <mergeCells count="5">
    <mergeCell ref="C3:G3"/>
    <mergeCell ref="C5:C6"/>
    <mergeCell ref="D5:D6"/>
    <mergeCell ref="E5:F5"/>
    <mergeCell ref="G5:G6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J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125" style="1" customWidth="1"/>
    <col min="2" max="2" width="3.25390625" style="1" customWidth="1"/>
    <col min="3" max="3" width="7.25390625" style="12" bestFit="1" customWidth="1"/>
    <col min="4" max="4" width="67.25390625" style="12" customWidth="1"/>
    <col min="5" max="5" width="13.25390625" style="13" customWidth="1"/>
    <col min="6" max="6" width="3.00390625" style="1" customWidth="1"/>
    <col min="7" max="7" width="2.75390625" style="1" customWidth="1"/>
    <col min="8" max="8" width="79.125" style="66" customWidth="1"/>
    <col min="9" max="9" width="2.753906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1.25" thickBot="1">
      <c r="B1" s="5" t="s">
        <v>2</v>
      </c>
      <c r="C1" s="5"/>
      <c r="D1" s="5"/>
      <c r="E1" s="30"/>
      <c r="F1" s="5"/>
      <c r="G1" s="5"/>
      <c r="H1" s="63"/>
      <c r="I1" s="5"/>
      <c r="J1" s="5"/>
      <c r="K1" s="5"/>
    </row>
    <row r="2" spans="2:36" ht="18">
      <c r="B2" s="14"/>
      <c r="C2" s="15"/>
      <c r="D2" s="15"/>
      <c r="E2" s="15"/>
      <c r="F2" s="16"/>
      <c r="H2" s="64" t="s">
        <v>193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46.5" customHeight="1">
      <c r="B3" s="17"/>
      <c r="C3" s="67" t="str">
        <f>CONCATENATE("Расчет условных показателей для определения влияния факторов на изменение чистого денежного потока по операционной деятельности  в ",'Т10'!C4:G4)</f>
        <v>Расчет условных показателей для определения влияния факторов на изменение чистого денежного потока по операционной деятельности  в ЗАО "Стройэксперт"</v>
      </c>
      <c r="D3" s="67"/>
      <c r="E3" s="67"/>
      <c r="F3" s="18"/>
      <c r="H3" s="64" t="s">
        <v>194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8">
      <c r="B4" s="17"/>
      <c r="C4" s="7"/>
      <c r="D4" s="7"/>
      <c r="E4" s="7"/>
      <c r="F4" s="18"/>
      <c r="H4" s="64" t="s">
        <v>195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25">
      <c r="B5" s="19"/>
      <c r="C5" s="72" t="s">
        <v>10</v>
      </c>
      <c r="D5" s="72" t="s">
        <v>147</v>
      </c>
      <c r="E5" s="80" t="s">
        <v>159</v>
      </c>
      <c r="F5" s="18"/>
      <c r="H5" s="64" t="s">
        <v>196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4.25">
      <c r="B6" s="19"/>
      <c r="C6" s="73"/>
      <c r="D6" s="73"/>
      <c r="E6" s="81"/>
      <c r="F6" s="18"/>
      <c r="H6" s="64" t="s">
        <v>197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18" s="11" customFormat="1" ht="12.75">
      <c r="A7" s="31"/>
      <c r="B7" s="2"/>
      <c r="C7" s="23">
        <v>1</v>
      </c>
      <c r="D7" s="9" t="s">
        <v>148</v>
      </c>
      <c r="E7" s="25">
        <f>'Т15'!E14</f>
        <v>-57</v>
      </c>
      <c r="F7" s="3"/>
      <c r="H7" s="64" t="s">
        <v>198</v>
      </c>
      <c r="M7" s="10"/>
      <c r="N7" s="10"/>
      <c r="O7" s="10"/>
      <c r="P7" s="10"/>
      <c r="Q7" s="10"/>
      <c r="R7" s="10"/>
    </row>
    <row r="8" spans="1:18" s="11" customFormat="1" ht="25.5">
      <c r="A8" s="31"/>
      <c r="B8" s="2"/>
      <c r="C8" s="23">
        <v>2</v>
      </c>
      <c r="D8" s="9" t="s">
        <v>149</v>
      </c>
      <c r="E8" s="25">
        <f>'Т15'!F7+'Т15'!E8+'Т15'!E9-'Т15'!E10-'Т15'!E11-'Т15'!E12-'Т15'!E13</f>
        <v>104</v>
      </c>
      <c r="F8" s="3"/>
      <c r="H8" s="65" t="s">
        <v>199</v>
      </c>
      <c r="M8" s="10"/>
      <c r="N8" s="10"/>
      <c r="O8" s="10"/>
      <c r="P8" s="10"/>
      <c r="Q8" s="10"/>
      <c r="R8" s="10"/>
    </row>
    <row r="9" spans="1:18" s="11" customFormat="1" ht="38.25">
      <c r="A9" s="31"/>
      <c r="B9" s="2"/>
      <c r="C9" s="23">
        <v>3</v>
      </c>
      <c r="D9" s="9" t="s">
        <v>150</v>
      </c>
      <c r="E9" s="25">
        <f>'Т15'!F7+'Т15'!F8+'Т15'!E9-'Т15'!E10-'Т15'!E11-'Т15'!E12-'Т15'!E13</f>
        <v>111</v>
      </c>
      <c r="F9" s="3"/>
      <c r="H9" s="65" t="s">
        <v>200</v>
      </c>
      <c r="M9" s="10"/>
      <c r="N9" s="10"/>
      <c r="O9" s="10"/>
      <c r="P9" s="10"/>
      <c r="Q9" s="10"/>
      <c r="R9" s="10"/>
    </row>
    <row r="10" spans="1:18" s="11" customFormat="1" ht="38.25">
      <c r="A10" s="31"/>
      <c r="B10" s="2"/>
      <c r="C10" s="23">
        <v>4</v>
      </c>
      <c r="D10" s="9" t="s">
        <v>151</v>
      </c>
      <c r="E10" s="25">
        <f>'Т15'!F7+'Т15'!F8+'Т15'!F9-'Т15'!E10-'Т15'!E11-'Т15'!E12-'Т15'!E13</f>
        <v>116</v>
      </c>
      <c r="F10" s="3"/>
      <c r="H10" s="65" t="s">
        <v>201</v>
      </c>
      <c r="M10" s="10"/>
      <c r="N10" s="10"/>
      <c r="O10" s="10"/>
      <c r="P10" s="10"/>
      <c r="Q10" s="10"/>
      <c r="R10" s="10"/>
    </row>
    <row r="11" spans="1:18" s="11" customFormat="1" ht="51">
      <c r="A11" s="31"/>
      <c r="B11" s="2"/>
      <c r="C11" s="23">
        <v>5</v>
      </c>
      <c r="D11" s="9" t="s">
        <v>152</v>
      </c>
      <c r="E11" s="25">
        <f>'Т15'!F7+'Т15'!F8+'Т15'!F9-'Т15'!F10-'Т15'!E11-'Т15'!E12-'Т15'!E13</f>
        <v>140</v>
      </c>
      <c r="F11" s="3"/>
      <c r="H11" s="65" t="s">
        <v>202</v>
      </c>
      <c r="M11" s="10"/>
      <c r="N11" s="10"/>
      <c r="O11" s="10"/>
      <c r="P11" s="10"/>
      <c r="Q11" s="10"/>
      <c r="R11" s="10"/>
    </row>
    <row r="12" spans="1:18" s="11" customFormat="1" ht="51">
      <c r="A12" s="31"/>
      <c r="B12" s="2"/>
      <c r="C12" s="23">
        <v>6</v>
      </c>
      <c r="D12" s="9" t="s">
        <v>153</v>
      </c>
      <c r="E12" s="25">
        <f>'Т15'!F7+'Т15'!F8+'Т15'!F9-'Т15'!F10-'Т15'!F11-'Т15'!E12-'Т15'!E13</f>
        <v>116</v>
      </c>
      <c r="F12" s="3"/>
      <c r="H12" s="65" t="s">
        <v>203</v>
      </c>
      <c r="M12" s="10"/>
      <c r="N12" s="10"/>
      <c r="O12" s="10"/>
      <c r="P12" s="10"/>
      <c r="Q12" s="10"/>
      <c r="R12" s="10"/>
    </row>
    <row r="13" spans="1:18" s="11" customFormat="1" ht="25.5">
      <c r="A13" s="31"/>
      <c r="B13" s="2"/>
      <c r="C13" s="23">
        <v>7</v>
      </c>
      <c r="D13" s="9" t="s">
        <v>154</v>
      </c>
      <c r="E13" s="25">
        <f>'Т15'!F7+'Т15'!F8+'Т15'!F9-'Т15'!F10-'Т15'!F11-'Т15'!F12-'Т15'!E13</f>
        <v>77</v>
      </c>
      <c r="F13" s="3"/>
      <c r="H13" s="65" t="s">
        <v>204</v>
      </c>
      <c r="M13" s="10"/>
      <c r="N13" s="10"/>
      <c r="O13" s="10"/>
      <c r="P13" s="10"/>
      <c r="Q13" s="10"/>
      <c r="R13" s="10"/>
    </row>
    <row r="14" spans="1:18" s="11" customFormat="1" ht="12.75">
      <c r="A14" s="31"/>
      <c r="B14" s="2"/>
      <c r="C14" s="23">
        <v>8</v>
      </c>
      <c r="D14" s="9" t="s">
        <v>155</v>
      </c>
      <c r="E14" s="25">
        <f>'Т15'!F14</f>
        <v>-102</v>
      </c>
      <c r="F14" s="3"/>
      <c r="H14" s="65" t="s">
        <v>205</v>
      </c>
      <c r="M14" s="10"/>
      <c r="N14" s="10"/>
      <c r="O14" s="10"/>
      <c r="P14" s="10"/>
      <c r="Q14" s="10"/>
      <c r="R14" s="10"/>
    </row>
    <row r="15" spans="2:8" ht="13.5" thickBot="1">
      <c r="B15" s="4"/>
      <c r="C15" s="20"/>
      <c r="D15" s="20"/>
      <c r="E15" s="20"/>
      <c r="F15" s="21"/>
      <c r="H15" s="65" t="s">
        <v>206</v>
      </c>
    </row>
    <row r="16" ht="12.75">
      <c r="H16" s="65" t="s">
        <v>207</v>
      </c>
    </row>
    <row r="17" ht="25.5">
      <c r="H17" s="65" t="s">
        <v>208</v>
      </c>
    </row>
    <row r="18" ht="25.5">
      <c r="H18" s="64" t="s">
        <v>209</v>
      </c>
    </row>
    <row r="19" ht="25.5">
      <c r="H19" s="64" t="s">
        <v>210</v>
      </c>
    </row>
    <row r="20" ht="25.5">
      <c r="H20" s="64" t="s">
        <v>211</v>
      </c>
    </row>
    <row r="21" ht="25.5">
      <c r="H21" s="64" t="s">
        <v>212</v>
      </c>
    </row>
    <row r="22" ht="12" customHeight="1">
      <c r="H22" s="64" t="s">
        <v>213</v>
      </c>
    </row>
  </sheetData>
  <sheetProtection/>
  <mergeCells count="4">
    <mergeCell ref="C3:E3"/>
    <mergeCell ref="C5:C6"/>
    <mergeCell ref="D5:D6"/>
    <mergeCell ref="E5:E6"/>
  </mergeCells>
  <hyperlinks>
    <hyperlink ref="H2" location="Т1!A1" display="Т-1 Анализ движения денежных средств"/>
    <hyperlink ref="H3" location="Т2!A1" display="Т-2 Структура притока и оттока денежных средств"/>
    <hyperlink ref="H4" location="Т3!A1" display="Т-3 Анализ коэффициентов ликвидности"/>
    <hyperlink ref="H5" location="Т4!A1" display="Т-4 Анализ коэффициентов платежеспособности"/>
    <hyperlink ref="H6" location="Т5!A1" display="Т-5 Анализ чистого денежного потока"/>
    <hyperlink ref="H7" location="Т6!A1" display="Т-6 Анализ дебиторской и кредиторской задолженности"/>
    <hyperlink ref="H8" location="Т7!A1" display="Т-7 Сравнение дебиторской и кредиторской задолженности "/>
    <hyperlink ref="H9" location="Т8!A1" display="Т-8 Прогнозирование динамики денежных поступлений"/>
    <hyperlink ref="H10" location="Т9!A1" display="Т-9 Прогнозируемый бюджет денежных средств"/>
    <hyperlink ref="H11" location="Т10!A1" display="Т-10 Расчет объема требуемого краткосрочного финансирования "/>
    <hyperlink ref="H12" location="Т11!A1" display="Т-11 Показатели для расчета коэффициента эластичности поступления денежных средств"/>
    <hyperlink ref="H13" location="Т12!A1" display="Т-12 Исходная информация для прогнозирования поступления денежных средств"/>
    <hyperlink ref="H14" location="Т13!A1" display="Т-13 Расчетная таблица прогнозных значений поступления денежных средств"/>
    <hyperlink ref="H15" location="Т14!A1" display="Т-14 Расчет показателей финансовой устойчивости деятельности"/>
    <hyperlink ref="H16" location="Т15!A1" display="Т-15 Факторы, оказывающие влияние на изменение чистого денежного потока"/>
    <hyperlink ref="H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H18" location="Т17!A1" display="Т-17 Расчет влияния факторов на изменение чистого денежного потока от операционной деятельности"/>
    <hyperlink ref="H19" location="Т18!A1" display="Т-18 Факторы, оказывающие влияние на изменение чистого денежного потока по финансовой деятельности"/>
    <hyperlink ref="H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H21" location="Т20!A1" display="Т-20 Расчет влияния факторов на изменение чистого денежного потока от операционной деятельности"/>
    <hyperlink ref="H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J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125" style="1" customWidth="1"/>
    <col min="2" max="2" width="3.25390625" style="1" customWidth="1"/>
    <col min="3" max="3" width="7.25390625" style="12" bestFit="1" customWidth="1"/>
    <col min="4" max="4" width="67.25390625" style="12" customWidth="1"/>
    <col min="5" max="5" width="13.25390625" style="13" customWidth="1"/>
    <col min="6" max="6" width="3.00390625" style="1" customWidth="1"/>
    <col min="7" max="7" width="2.75390625" style="1" customWidth="1"/>
    <col min="8" max="8" width="79.125" style="66" customWidth="1"/>
    <col min="9" max="9" width="2.753906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1.25" thickBot="1">
      <c r="B1" s="5" t="s">
        <v>2</v>
      </c>
      <c r="C1" s="5"/>
      <c r="D1" s="5"/>
      <c r="E1" s="30"/>
      <c r="F1" s="5"/>
      <c r="G1" s="5"/>
      <c r="H1" s="63"/>
      <c r="I1" s="5"/>
      <c r="J1" s="5"/>
      <c r="K1" s="5"/>
    </row>
    <row r="2" spans="2:36" ht="18">
      <c r="B2" s="14"/>
      <c r="C2" s="15"/>
      <c r="D2" s="15"/>
      <c r="E2" s="15"/>
      <c r="F2" s="16"/>
      <c r="H2" s="64" t="s">
        <v>193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38.25" customHeight="1">
      <c r="B3" s="17"/>
      <c r="C3" s="67" t="str">
        <f>CONCATENATE("Расчет влияния факторов на изменение чистого денежного потока от операционной деятельности в ",'Т10'!C4:G4)</f>
        <v>Расчет влияния факторов на изменение чистого денежного потока от операционной деятельности в ЗАО "Стройэксперт"</v>
      </c>
      <c r="D3" s="67"/>
      <c r="E3" s="67"/>
      <c r="F3" s="18"/>
      <c r="H3" s="64" t="s">
        <v>194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8">
      <c r="B4" s="17"/>
      <c r="C4" s="7"/>
      <c r="D4" s="7"/>
      <c r="E4" s="7"/>
      <c r="F4" s="18"/>
      <c r="H4" s="64" t="s">
        <v>195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25">
      <c r="B5" s="19"/>
      <c r="C5" s="72" t="s">
        <v>10</v>
      </c>
      <c r="D5" s="72" t="s">
        <v>147</v>
      </c>
      <c r="E5" s="80" t="s">
        <v>159</v>
      </c>
      <c r="F5" s="18"/>
      <c r="H5" s="64" t="s">
        <v>196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4.25">
      <c r="B6" s="19"/>
      <c r="C6" s="73"/>
      <c r="D6" s="73"/>
      <c r="E6" s="81"/>
      <c r="F6" s="18"/>
      <c r="H6" s="64" t="s">
        <v>197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18" s="11" customFormat="1" ht="12.75">
      <c r="A7" s="31"/>
      <c r="B7" s="2"/>
      <c r="C7" s="23">
        <v>1</v>
      </c>
      <c r="D7" s="9" t="s">
        <v>139</v>
      </c>
      <c r="E7" s="25">
        <f>'Т16'!E8-'Т16'!E7</f>
        <v>161</v>
      </c>
      <c r="F7" s="3"/>
      <c r="H7" s="64" t="s">
        <v>198</v>
      </c>
      <c r="M7" s="10"/>
      <c r="N7" s="10"/>
      <c r="O7" s="10"/>
      <c r="P7" s="10"/>
      <c r="Q7" s="10"/>
      <c r="R7" s="10"/>
    </row>
    <row r="8" spans="1:18" s="11" customFormat="1" ht="12.75">
      <c r="A8" s="31"/>
      <c r="B8" s="2"/>
      <c r="C8" s="23">
        <v>2</v>
      </c>
      <c r="D8" s="9" t="s">
        <v>140</v>
      </c>
      <c r="E8" s="25">
        <f>'Т16'!E9-'Т16'!E8</f>
        <v>7</v>
      </c>
      <c r="F8" s="3"/>
      <c r="H8" s="65" t="s">
        <v>199</v>
      </c>
      <c r="M8" s="10"/>
      <c r="N8" s="10"/>
      <c r="O8" s="10"/>
      <c r="P8" s="10"/>
      <c r="Q8" s="10"/>
      <c r="R8" s="10"/>
    </row>
    <row r="9" spans="1:18" s="11" customFormat="1" ht="12.75">
      <c r="A9" s="31"/>
      <c r="B9" s="2"/>
      <c r="C9" s="23">
        <v>3</v>
      </c>
      <c r="D9" s="9" t="s">
        <v>141</v>
      </c>
      <c r="E9" s="25">
        <f>'Т16'!E10-'Т16'!E9</f>
        <v>5</v>
      </c>
      <c r="F9" s="3"/>
      <c r="H9" s="65" t="s">
        <v>200</v>
      </c>
      <c r="M9" s="10"/>
      <c r="N9" s="10"/>
      <c r="O9" s="10"/>
      <c r="P9" s="10"/>
      <c r="Q9" s="10"/>
      <c r="R9" s="10"/>
    </row>
    <row r="10" spans="1:18" s="11" customFormat="1" ht="12.75">
      <c r="A10" s="31"/>
      <c r="B10" s="2"/>
      <c r="C10" s="23">
        <v>4</v>
      </c>
      <c r="D10" s="9" t="s">
        <v>156</v>
      </c>
      <c r="E10" s="25">
        <f>'Т16'!E11-'Т16'!E10</f>
        <v>24</v>
      </c>
      <c r="F10" s="3"/>
      <c r="H10" s="65" t="s">
        <v>201</v>
      </c>
      <c r="M10" s="10"/>
      <c r="N10" s="10"/>
      <c r="O10" s="10"/>
      <c r="P10" s="10"/>
      <c r="Q10" s="10"/>
      <c r="R10" s="10"/>
    </row>
    <row r="11" spans="1:18" s="11" customFormat="1" ht="12.75">
      <c r="A11" s="31"/>
      <c r="B11" s="2"/>
      <c r="C11" s="23">
        <v>5</v>
      </c>
      <c r="D11" s="9" t="s">
        <v>143</v>
      </c>
      <c r="E11" s="25">
        <f>'Т16'!E12-'Т16'!E11</f>
        <v>-24</v>
      </c>
      <c r="F11" s="3"/>
      <c r="H11" s="65" t="s">
        <v>202</v>
      </c>
      <c r="M11" s="10"/>
      <c r="N11" s="10"/>
      <c r="O11" s="10"/>
      <c r="P11" s="10"/>
      <c r="Q11" s="10"/>
      <c r="R11" s="10"/>
    </row>
    <row r="12" spans="1:18" s="11" customFormat="1" ht="25.5">
      <c r="A12" s="31"/>
      <c r="B12" s="2"/>
      <c r="C12" s="23">
        <v>6</v>
      </c>
      <c r="D12" s="9" t="s">
        <v>157</v>
      </c>
      <c r="E12" s="25">
        <f>'Т16'!E13-'Т16'!E12</f>
        <v>-39</v>
      </c>
      <c r="F12" s="3"/>
      <c r="H12" s="65" t="s">
        <v>203</v>
      </c>
      <c r="M12" s="10"/>
      <c r="N12" s="10"/>
      <c r="O12" s="10"/>
      <c r="P12" s="10"/>
      <c r="Q12" s="10"/>
      <c r="R12" s="10"/>
    </row>
    <row r="13" spans="1:18" s="11" customFormat="1" ht="12.75">
      <c r="A13" s="31"/>
      <c r="B13" s="2"/>
      <c r="C13" s="23">
        <v>7</v>
      </c>
      <c r="D13" s="9" t="s">
        <v>158</v>
      </c>
      <c r="E13" s="25">
        <f>'Т16'!E14-'Т16'!E13</f>
        <v>-179</v>
      </c>
      <c r="F13" s="3"/>
      <c r="H13" s="65" t="s">
        <v>204</v>
      </c>
      <c r="M13" s="10"/>
      <c r="N13" s="10"/>
      <c r="O13" s="10"/>
      <c r="P13" s="10"/>
      <c r="Q13" s="10"/>
      <c r="R13" s="10"/>
    </row>
    <row r="14" spans="1:18" s="11" customFormat="1" ht="12.75">
      <c r="A14" s="31"/>
      <c r="B14" s="2"/>
      <c r="C14" s="23">
        <v>8</v>
      </c>
      <c r="D14" s="9" t="s">
        <v>167</v>
      </c>
      <c r="E14" s="25">
        <f>SUM(E7:E13)</f>
        <v>-45</v>
      </c>
      <c r="F14" s="3"/>
      <c r="H14" s="65" t="s">
        <v>205</v>
      </c>
      <c r="M14" s="10"/>
      <c r="N14" s="10"/>
      <c r="O14" s="10"/>
      <c r="P14" s="10"/>
      <c r="Q14" s="10"/>
      <c r="R14" s="10"/>
    </row>
    <row r="15" spans="2:8" ht="13.5" thickBot="1">
      <c r="B15" s="4"/>
      <c r="C15" s="20"/>
      <c r="D15" s="20"/>
      <c r="E15" s="20"/>
      <c r="F15" s="21"/>
      <c r="H15" s="65" t="s">
        <v>206</v>
      </c>
    </row>
    <row r="16" ht="12.75">
      <c r="H16" s="65" t="s">
        <v>207</v>
      </c>
    </row>
    <row r="17" spans="4:8" ht="25.5">
      <c r="D17" s="40" t="s">
        <v>64</v>
      </c>
      <c r="H17" s="65" t="s">
        <v>208</v>
      </c>
    </row>
    <row r="18" spans="4:8" ht="25.5">
      <c r="D18" s="54" t="str">
        <f>IF((E14-'Т15'!G14)=0,"Данные введены верно","Проверьте правильность ввода данных")</f>
        <v>Данные введены верно</v>
      </c>
      <c r="H18" s="64" t="s">
        <v>209</v>
      </c>
    </row>
    <row r="19" ht="25.5">
      <c r="H19" s="64" t="s">
        <v>210</v>
      </c>
    </row>
    <row r="20" ht="25.5">
      <c r="H20" s="64" t="s">
        <v>211</v>
      </c>
    </row>
    <row r="21" ht="25.5">
      <c r="H21" s="64" t="s">
        <v>212</v>
      </c>
    </row>
    <row r="22" ht="12.75">
      <c r="H22" s="64" t="s">
        <v>213</v>
      </c>
    </row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</sheetData>
  <sheetProtection/>
  <mergeCells count="4">
    <mergeCell ref="C3:E3"/>
    <mergeCell ref="C5:C6"/>
    <mergeCell ref="D5:D6"/>
    <mergeCell ref="E5:E6"/>
  </mergeCells>
  <hyperlinks>
    <hyperlink ref="H2" location="Т1!A1" display="Т-1 Анализ движения денежных средств"/>
    <hyperlink ref="H3" location="Т2!A1" display="Т-2 Структура притока и оттока денежных средств"/>
    <hyperlink ref="H4" location="Т3!A1" display="Т-3 Анализ коэффициентов ликвидности"/>
    <hyperlink ref="H5" location="Т4!A1" display="Т-4 Анализ коэффициентов платежеспособности"/>
    <hyperlink ref="H6" location="Т5!A1" display="Т-5 Анализ чистого денежного потока"/>
    <hyperlink ref="H7" location="Т6!A1" display="Т-6 Анализ дебиторской и кредиторской задолженности"/>
    <hyperlink ref="H8" location="Т7!A1" display="Т-7 Сравнение дебиторской и кредиторской задолженности "/>
    <hyperlink ref="H9" location="Т8!A1" display="Т-8 Прогнозирование динамики денежных поступлений"/>
    <hyperlink ref="H10" location="Т9!A1" display="Т-9 Прогнозируемый бюджет денежных средств"/>
    <hyperlink ref="H11" location="Т10!A1" display="Т-10 Расчет объема требуемого краткосрочного финансирования "/>
    <hyperlink ref="H12" location="Т11!A1" display="Т-11 Показатели для расчета коэффициента эластичности поступления денежных средств"/>
    <hyperlink ref="H13" location="Т12!A1" display="Т-12 Исходная информация для прогнозирования поступления денежных средств"/>
    <hyperlink ref="H14" location="Т13!A1" display="Т-13 Расчетная таблица прогнозных значений поступления денежных средств"/>
    <hyperlink ref="H15" location="Т14!A1" display="Т-14 Расчет показателей финансовой устойчивости деятельности"/>
    <hyperlink ref="H16" location="Т15!A1" display="Т-15 Факторы, оказывающие влияние на изменение чистого денежного потока"/>
    <hyperlink ref="H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H18" location="Т17!A1" display="Т-17 Расчет влияния факторов на изменение чистого денежного потока от операционной деятельности"/>
    <hyperlink ref="H19" location="Т18!A1" display="Т-18 Факторы, оказывающие влияние на изменение чистого денежного потока по финансовой деятельности"/>
    <hyperlink ref="H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H21" location="Т20!A1" display="Т-20 Расчет влияния факторов на изменение чистого денежного потока от операционной деятельности"/>
    <hyperlink ref="H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625" style="1" customWidth="1"/>
    <col min="2" max="2" width="3.25390625" style="1" customWidth="1"/>
    <col min="3" max="3" width="7.25390625" style="12" bestFit="1" customWidth="1"/>
    <col min="4" max="4" width="46.25390625" style="12" customWidth="1"/>
    <col min="5" max="5" width="11.125" style="13" customWidth="1"/>
    <col min="6" max="6" width="10.875" style="13" customWidth="1"/>
    <col min="7" max="7" width="10.75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30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39" customHeight="1">
      <c r="B3" s="17"/>
      <c r="C3" s="67" t="str">
        <f>CONCATENATE("Факторы, оказывающие влияние на изменение чистого денежного потока по финансовой деятельности в ",'Т10'!C4:G4)</f>
        <v>Факторы, оказывающие влияние на изменение чистого денежного потока по финансовой деятельности в ЗАО "Стройэксперт"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7"/>
      <c r="D4" s="7"/>
      <c r="E4" s="7"/>
      <c r="F4" s="7"/>
      <c r="G4" s="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4.25">
      <c r="B5" s="19"/>
      <c r="C5" s="72" t="s">
        <v>10</v>
      </c>
      <c r="D5" s="72" t="s">
        <v>8</v>
      </c>
      <c r="E5" s="82" t="s">
        <v>127</v>
      </c>
      <c r="F5" s="83"/>
      <c r="G5" s="80" t="s">
        <v>15</v>
      </c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>
      <c r="B6" s="19"/>
      <c r="C6" s="73"/>
      <c r="D6" s="73"/>
      <c r="E6" s="34">
        <f>'Т11'!E5</f>
        <v>2009</v>
      </c>
      <c r="F6" s="34">
        <f>'Т11'!F5</f>
        <v>2010</v>
      </c>
      <c r="G6" s="81"/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25.5">
      <c r="A7" s="31"/>
      <c r="B7" s="2"/>
      <c r="C7" s="23">
        <v>1</v>
      </c>
      <c r="D7" s="9" t="s">
        <v>160</v>
      </c>
      <c r="E7" s="25">
        <f>'Т2'!E15</f>
        <v>7</v>
      </c>
      <c r="F7" s="25">
        <f>'Т2'!F15</f>
        <v>15</v>
      </c>
      <c r="G7" s="25">
        <f>F7-E7</f>
        <v>8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161</v>
      </c>
      <c r="E8" s="25">
        <f>'Т2'!E14</f>
        <v>0</v>
      </c>
      <c r="F8" s="25">
        <f>'Т2'!F14</f>
        <v>0</v>
      </c>
      <c r="G8" s="25">
        <f>F8-E8</f>
        <v>0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3">
        <v>3</v>
      </c>
      <c r="D9" s="9" t="s">
        <v>162</v>
      </c>
      <c r="E9" s="25">
        <f>'Т2'!E26</f>
        <v>290</v>
      </c>
      <c r="F9" s="25">
        <f>'Т2'!F26</f>
        <v>378</v>
      </c>
      <c r="G9" s="25">
        <f>F9-E9</f>
        <v>88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25.5">
      <c r="A10" s="31"/>
      <c r="B10" s="2"/>
      <c r="C10" s="23">
        <v>4</v>
      </c>
      <c r="D10" s="9" t="s">
        <v>163</v>
      </c>
      <c r="E10" s="25">
        <f>E7+E8-E9</f>
        <v>-283</v>
      </c>
      <c r="F10" s="25">
        <f>F7+F8-F9</f>
        <v>-363</v>
      </c>
      <c r="G10" s="25">
        <f>F10-E10</f>
        <v>-80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2:10" ht="13.5" thickBot="1">
      <c r="B11" s="4"/>
      <c r="C11" s="20"/>
      <c r="D11" s="20"/>
      <c r="E11" s="20"/>
      <c r="F11" s="20"/>
      <c r="G11" s="20"/>
      <c r="H11" s="21"/>
      <c r="J11" s="65" t="s">
        <v>202</v>
      </c>
    </row>
    <row r="12" ht="25.5">
      <c r="J12" s="65" t="s">
        <v>203</v>
      </c>
    </row>
    <row r="13" ht="12.75">
      <c r="J13" s="65" t="s">
        <v>204</v>
      </c>
    </row>
    <row r="14" ht="12.75"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</sheetData>
  <sheetProtection/>
  <mergeCells count="5">
    <mergeCell ref="C3:G3"/>
    <mergeCell ref="C5:C6"/>
    <mergeCell ref="D5:D6"/>
    <mergeCell ref="E5:F5"/>
    <mergeCell ref="G5:G6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J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75390625" style="1" customWidth="1"/>
    <col min="2" max="2" width="3.25390625" style="1" customWidth="1"/>
    <col min="3" max="3" width="7.25390625" style="12" bestFit="1" customWidth="1"/>
    <col min="4" max="4" width="67.25390625" style="12" customWidth="1"/>
    <col min="5" max="5" width="13.25390625" style="13" customWidth="1"/>
    <col min="6" max="6" width="3.00390625" style="1" customWidth="1"/>
    <col min="7" max="7" width="2.75390625" style="1" customWidth="1"/>
    <col min="8" max="8" width="79.125" style="66" customWidth="1"/>
    <col min="9" max="9" width="2.753906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1.25" thickBot="1">
      <c r="B1" s="5" t="s">
        <v>2</v>
      </c>
      <c r="C1" s="5"/>
      <c r="D1" s="5"/>
      <c r="E1" s="30"/>
      <c r="F1" s="5"/>
      <c r="G1" s="5"/>
      <c r="H1" s="63"/>
      <c r="I1" s="5"/>
      <c r="J1" s="5"/>
      <c r="K1" s="5"/>
    </row>
    <row r="2" spans="2:36" ht="18">
      <c r="B2" s="14"/>
      <c r="C2" s="15"/>
      <c r="D2" s="15"/>
      <c r="E2" s="15"/>
      <c r="F2" s="16"/>
      <c r="H2" s="64" t="s">
        <v>193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42" customHeight="1">
      <c r="B3" s="17"/>
      <c r="C3" s="67" t="str">
        <f>CONCATENATE("Расчет условных показателей для определения влияния факторов на изменение чистого денежного потока по операционной деятельности  в ",'Т10'!C4:G4)</f>
        <v>Расчет условных показателей для определения влияния факторов на изменение чистого денежного потока по операционной деятельности  в ЗАО "Стройэксперт"</v>
      </c>
      <c r="D3" s="67"/>
      <c r="E3" s="67"/>
      <c r="F3" s="18"/>
      <c r="H3" s="64" t="s">
        <v>194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8">
      <c r="B4" s="17"/>
      <c r="C4" s="7"/>
      <c r="D4" s="7"/>
      <c r="E4" s="7"/>
      <c r="F4" s="18"/>
      <c r="H4" s="64" t="s">
        <v>195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25">
      <c r="B5" s="19"/>
      <c r="C5" s="72" t="s">
        <v>10</v>
      </c>
      <c r="D5" s="72" t="s">
        <v>147</v>
      </c>
      <c r="E5" s="80" t="s">
        <v>159</v>
      </c>
      <c r="F5" s="18"/>
      <c r="H5" s="64" t="s">
        <v>196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4.25">
      <c r="B6" s="19"/>
      <c r="C6" s="73"/>
      <c r="D6" s="73"/>
      <c r="E6" s="81"/>
      <c r="F6" s="18"/>
      <c r="H6" s="64" t="s">
        <v>197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18" s="11" customFormat="1" ht="12.75">
      <c r="A7" s="31"/>
      <c r="B7" s="2"/>
      <c r="C7" s="23">
        <v>1</v>
      </c>
      <c r="D7" s="9" t="s">
        <v>148</v>
      </c>
      <c r="E7" s="25">
        <f>'Т18'!E10</f>
        <v>-283</v>
      </c>
      <c r="F7" s="3"/>
      <c r="H7" s="64" t="s">
        <v>198</v>
      </c>
      <c r="M7" s="10"/>
      <c r="N7" s="10"/>
      <c r="O7" s="10"/>
      <c r="P7" s="10"/>
      <c r="Q7" s="10"/>
      <c r="R7" s="10"/>
    </row>
    <row r="8" spans="1:18" s="11" customFormat="1" ht="38.25">
      <c r="A8" s="31"/>
      <c r="B8" s="2"/>
      <c r="C8" s="23">
        <v>2</v>
      </c>
      <c r="D8" s="9" t="s">
        <v>164</v>
      </c>
      <c r="E8" s="25">
        <f>'Т18'!F7+'Т18'!E8-'Т18'!E9</f>
        <v>-275</v>
      </c>
      <c r="F8" s="3"/>
      <c r="H8" s="65" t="s">
        <v>199</v>
      </c>
      <c r="M8" s="10"/>
      <c r="N8" s="10"/>
      <c r="O8" s="10"/>
      <c r="P8" s="10"/>
      <c r="Q8" s="10"/>
      <c r="R8" s="10"/>
    </row>
    <row r="9" spans="1:18" s="11" customFormat="1" ht="38.25">
      <c r="A9" s="31"/>
      <c r="B9" s="2"/>
      <c r="C9" s="23">
        <v>3</v>
      </c>
      <c r="D9" s="9" t="s">
        <v>165</v>
      </c>
      <c r="E9" s="25">
        <f>'Т18'!F7+'Т18'!F8-'Т18'!E9</f>
        <v>-275</v>
      </c>
      <c r="F9" s="3"/>
      <c r="H9" s="65" t="s">
        <v>200</v>
      </c>
      <c r="M9" s="10"/>
      <c r="N9" s="10"/>
      <c r="O9" s="10"/>
      <c r="P9" s="10"/>
      <c r="Q9" s="10"/>
      <c r="R9" s="10"/>
    </row>
    <row r="10" spans="1:18" s="11" customFormat="1" ht="12.75">
      <c r="A10" s="31"/>
      <c r="B10" s="2"/>
      <c r="C10" s="23">
        <v>4</v>
      </c>
      <c r="D10" s="9" t="s">
        <v>166</v>
      </c>
      <c r="E10" s="25">
        <f>'Т18'!F10</f>
        <v>-363</v>
      </c>
      <c r="F10" s="3"/>
      <c r="H10" s="65" t="s">
        <v>201</v>
      </c>
      <c r="M10" s="10"/>
      <c r="N10" s="10"/>
      <c r="O10" s="10"/>
      <c r="P10" s="10"/>
      <c r="Q10" s="10"/>
      <c r="R10" s="10"/>
    </row>
    <row r="11" spans="2:8" ht="13.5" thickBot="1">
      <c r="B11" s="4"/>
      <c r="C11" s="20"/>
      <c r="D11" s="20"/>
      <c r="E11" s="20"/>
      <c r="F11" s="21"/>
      <c r="H11" s="65" t="s">
        <v>202</v>
      </c>
    </row>
    <row r="12" ht="25.5">
      <c r="H12" s="65" t="s">
        <v>203</v>
      </c>
    </row>
    <row r="13" ht="12.75">
      <c r="H13" s="65" t="s">
        <v>204</v>
      </c>
    </row>
    <row r="14" ht="12.75">
      <c r="H14" s="65" t="s">
        <v>205</v>
      </c>
    </row>
    <row r="15" ht="12.75">
      <c r="H15" s="65" t="s">
        <v>206</v>
      </c>
    </row>
    <row r="16" ht="12.75">
      <c r="H16" s="65" t="s">
        <v>207</v>
      </c>
    </row>
    <row r="17" ht="25.5">
      <c r="H17" s="65" t="s">
        <v>208</v>
      </c>
    </row>
    <row r="18" ht="25.5">
      <c r="H18" s="64" t="s">
        <v>209</v>
      </c>
    </row>
    <row r="19" ht="25.5">
      <c r="H19" s="64" t="s">
        <v>210</v>
      </c>
    </row>
    <row r="20" ht="25.5">
      <c r="H20" s="64" t="s">
        <v>211</v>
      </c>
    </row>
    <row r="21" ht="25.5">
      <c r="H21" s="64" t="s">
        <v>212</v>
      </c>
    </row>
    <row r="22" ht="12.75">
      <c r="H22" s="64" t="s">
        <v>213</v>
      </c>
    </row>
    <row r="23" ht="10.5"/>
  </sheetData>
  <sheetProtection/>
  <mergeCells count="4">
    <mergeCell ref="C3:E3"/>
    <mergeCell ref="C5:C6"/>
    <mergeCell ref="D5:D6"/>
    <mergeCell ref="E5:E6"/>
  </mergeCells>
  <hyperlinks>
    <hyperlink ref="H2" location="Т1!A1" display="Т-1 Анализ движения денежных средств"/>
    <hyperlink ref="H3" location="Т2!A1" display="Т-2 Структура притока и оттока денежных средств"/>
    <hyperlink ref="H4" location="Т3!A1" display="Т-3 Анализ коэффициентов ликвидности"/>
    <hyperlink ref="H5" location="Т4!A1" display="Т-4 Анализ коэффициентов платежеспособности"/>
    <hyperlink ref="H6" location="Т5!A1" display="Т-5 Анализ чистого денежного потока"/>
    <hyperlink ref="H7" location="Т6!A1" display="Т-6 Анализ дебиторской и кредиторской задолженности"/>
    <hyperlink ref="H8" location="Т7!A1" display="Т-7 Сравнение дебиторской и кредиторской задолженности "/>
    <hyperlink ref="H9" location="Т8!A1" display="Т-8 Прогнозирование динамики денежных поступлений"/>
    <hyperlink ref="H10" location="Т9!A1" display="Т-9 Прогнозируемый бюджет денежных средств"/>
    <hyperlink ref="H11" location="Т10!A1" display="Т-10 Расчет объема требуемого краткосрочного финансирования "/>
    <hyperlink ref="H12" location="Т11!A1" display="Т-11 Показатели для расчета коэффициента эластичности поступления денежных средств"/>
    <hyperlink ref="H13" location="Т12!A1" display="Т-12 Исходная информация для прогнозирования поступления денежных средств"/>
    <hyperlink ref="H14" location="Т13!A1" display="Т-13 Расчетная таблица прогнозных значений поступления денежных средств"/>
    <hyperlink ref="H15" location="Т14!A1" display="Т-14 Расчет показателей финансовой устойчивости деятельности"/>
    <hyperlink ref="H16" location="Т15!A1" display="Т-15 Факторы, оказывающие влияние на изменение чистого денежного потока"/>
    <hyperlink ref="H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H18" location="Т17!A1" display="Т-17 Расчет влияния факторов на изменение чистого денежного потока от операционной деятельности"/>
    <hyperlink ref="H19" location="Т18!A1" display="Т-18 Факторы, оказывающие влияние на изменение чистого денежного потока по финансовой деятельности"/>
    <hyperlink ref="H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H21" location="Т20!A1" display="Т-20 Расчет влияния факторов на изменение чистого денежного потока от операционной деятельности"/>
    <hyperlink ref="H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O32"/>
  <sheetViews>
    <sheetView showGridLines="0"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" width="4.125" style="1" customWidth="1"/>
    <col min="2" max="2" width="3.25390625" style="1" customWidth="1"/>
    <col min="3" max="3" width="7.25390625" style="12" bestFit="1" customWidth="1"/>
    <col min="4" max="4" width="46.75390625" style="12" customWidth="1"/>
    <col min="5" max="5" width="13.00390625" style="13" customWidth="1"/>
    <col min="6" max="6" width="12.25390625" style="13" customWidth="1"/>
    <col min="7" max="7" width="9.625" style="13" bestFit="1" customWidth="1"/>
    <col min="8" max="8" width="9.00390625" style="13" customWidth="1"/>
    <col min="9" max="9" width="10.375" style="13" customWidth="1"/>
    <col min="10" max="10" width="14.125" style="13" customWidth="1"/>
    <col min="11" max="11" width="3.00390625" style="1" customWidth="1"/>
    <col min="12" max="12" width="2.75390625" style="1" customWidth="1"/>
    <col min="13" max="13" width="79.125" style="66" customWidth="1"/>
    <col min="14" max="14" width="2.75390625" style="1" customWidth="1"/>
    <col min="15" max="15" width="6.625" style="1" bestFit="1" customWidth="1"/>
    <col min="16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1.25" thickBot="1">
      <c r="B1" s="5" t="s">
        <v>2</v>
      </c>
      <c r="C1" s="5"/>
      <c r="D1" s="5"/>
      <c r="E1" s="5"/>
      <c r="F1" s="30"/>
      <c r="G1" s="5"/>
      <c r="H1" s="30"/>
      <c r="I1" s="5"/>
      <c r="J1" s="5"/>
      <c r="K1" s="5"/>
      <c r="L1" s="5"/>
      <c r="M1" s="63"/>
      <c r="N1" s="5"/>
      <c r="O1" s="5"/>
      <c r="P1" s="5"/>
    </row>
    <row r="2" spans="2:41" ht="18">
      <c r="B2" s="14"/>
      <c r="C2" s="15"/>
      <c r="D2" s="15"/>
      <c r="E2" s="15"/>
      <c r="F2" s="15"/>
      <c r="G2" s="15"/>
      <c r="H2" s="15"/>
      <c r="I2" s="15"/>
      <c r="J2" s="15"/>
      <c r="K2" s="16"/>
      <c r="M2" s="64" t="s">
        <v>193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8">
      <c r="B3" s="17"/>
      <c r="C3" s="67" t="str">
        <f>CONCATENATE("Структура притока и оттока денежных средств за ",E7,"-",F7," гг. в ")</f>
        <v>Структура притока и оттока денежных средств за 2009-2010 гг. в </v>
      </c>
      <c r="D3" s="67"/>
      <c r="E3" s="67"/>
      <c r="F3" s="67"/>
      <c r="G3" s="67"/>
      <c r="H3" s="67"/>
      <c r="I3" s="67"/>
      <c r="J3" s="67"/>
      <c r="K3" s="18"/>
      <c r="M3" s="64" t="s">
        <v>194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8">
      <c r="B4" s="17"/>
      <c r="C4" s="67" t="str">
        <f>'Т1'!C4:J4</f>
        <v>ЗАО "Стройэксперт"</v>
      </c>
      <c r="D4" s="67"/>
      <c r="E4" s="67"/>
      <c r="F4" s="67"/>
      <c r="G4" s="67"/>
      <c r="H4" s="67"/>
      <c r="I4" s="67"/>
      <c r="J4" s="67"/>
      <c r="K4" s="18"/>
      <c r="M4" s="64" t="s">
        <v>195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8">
      <c r="B5" s="17"/>
      <c r="C5" s="7"/>
      <c r="D5" s="7"/>
      <c r="E5" s="7"/>
      <c r="F5" s="7"/>
      <c r="G5" s="7"/>
      <c r="H5" s="7"/>
      <c r="I5" s="7"/>
      <c r="J5" s="7"/>
      <c r="K5" s="18"/>
      <c r="M5" s="64" t="s">
        <v>196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14.25">
      <c r="B6" s="19"/>
      <c r="C6" s="72" t="s">
        <v>10</v>
      </c>
      <c r="D6" s="72" t="s">
        <v>8</v>
      </c>
      <c r="E6" s="68" t="s">
        <v>35</v>
      </c>
      <c r="F6" s="68"/>
      <c r="G6" s="68"/>
      <c r="H6" s="69" t="s">
        <v>17</v>
      </c>
      <c r="I6" s="70"/>
      <c r="J6" s="71"/>
      <c r="K6" s="18"/>
      <c r="M6" s="64" t="s">
        <v>197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41" ht="14.25">
      <c r="B7" s="19"/>
      <c r="C7" s="73"/>
      <c r="D7" s="73"/>
      <c r="E7" s="33">
        <f>'Т1'!E7</f>
        <v>2009</v>
      </c>
      <c r="F7" s="33">
        <f>'Т1'!F7</f>
        <v>2010</v>
      </c>
      <c r="G7" s="33" t="s">
        <v>36</v>
      </c>
      <c r="H7" s="33">
        <f>E7</f>
        <v>2009</v>
      </c>
      <c r="I7" s="33">
        <f>F7</f>
        <v>2010</v>
      </c>
      <c r="J7" s="33" t="s">
        <v>36</v>
      </c>
      <c r="K7" s="18"/>
      <c r="M7" s="64" t="s">
        <v>198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23" s="11" customFormat="1" ht="12.75">
      <c r="A8" s="31"/>
      <c r="B8" s="2"/>
      <c r="C8" s="23">
        <v>1</v>
      </c>
      <c r="D8" s="9" t="s">
        <v>9</v>
      </c>
      <c r="E8" s="25">
        <f>'Т1'!E8</f>
        <v>10</v>
      </c>
      <c r="F8" s="25">
        <f>'Т1'!F8</f>
        <v>12</v>
      </c>
      <c r="G8" s="25">
        <f>F8-E8</f>
        <v>2</v>
      </c>
      <c r="H8" s="29" t="s">
        <v>6</v>
      </c>
      <c r="I8" s="29" t="s">
        <v>6</v>
      </c>
      <c r="J8" s="26" t="s">
        <v>6</v>
      </c>
      <c r="K8" s="3"/>
      <c r="M8" s="65" t="s">
        <v>199</v>
      </c>
      <c r="R8" s="10"/>
      <c r="S8" s="10"/>
      <c r="T8" s="10"/>
      <c r="U8" s="10"/>
      <c r="V8" s="10"/>
      <c r="W8" s="10"/>
    </row>
    <row r="9" spans="1:23" s="11" customFormat="1" ht="25.5">
      <c r="A9" s="31"/>
      <c r="B9" s="2"/>
      <c r="C9" s="23">
        <v>2</v>
      </c>
      <c r="D9" s="9" t="s">
        <v>38</v>
      </c>
      <c r="E9" s="25">
        <f>SUM(E10:E17)</f>
        <v>1502</v>
      </c>
      <c r="F9" s="25">
        <f>SUM(F10:F17)</f>
        <v>1604</v>
      </c>
      <c r="G9" s="25">
        <f>F9-E9</f>
        <v>102</v>
      </c>
      <c r="H9" s="27">
        <f>SUM(H10:H17)</f>
        <v>1</v>
      </c>
      <c r="I9" s="27">
        <f>SUM(I10:I17)</f>
        <v>1.0000000000000002</v>
      </c>
      <c r="J9" s="27">
        <f>I9-H9</f>
        <v>0</v>
      </c>
      <c r="K9" s="3"/>
      <c r="M9" s="65" t="s">
        <v>200</v>
      </c>
      <c r="R9" s="10"/>
      <c r="S9" s="10"/>
      <c r="T9" s="10"/>
      <c r="U9" s="10"/>
      <c r="V9" s="10"/>
      <c r="W9" s="10"/>
    </row>
    <row r="10" spans="1:23" s="11" customFormat="1" ht="25.5">
      <c r="A10" s="31"/>
      <c r="B10" s="2"/>
      <c r="C10" s="28" t="s">
        <v>16</v>
      </c>
      <c r="D10" s="22" t="s">
        <v>48</v>
      </c>
      <c r="E10" s="26">
        <v>1450</v>
      </c>
      <c r="F10" s="26">
        <v>1529</v>
      </c>
      <c r="G10" s="25">
        <f aca="true" t="shared" si="0" ref="G10:G27">F10-E10</f>
        <v>79</v>
      </c>
      <c r="H10" s="27">
        <f>E10/E$9</f>
        <v>0.9653794940079894</v>
      </c>
      <c r="I10" s="27">
        <f>F10/F$9</f>
        <v>0.9532418952618454</v>
      </c>
      <c r="J10" s="27">
        <f aca="true" t="shared" si="1" ref="J10:J26">I10-H10</f>
        <v>-0.012137598746143952</v>
      </c>
      <c r="K10" s="3"/>
      <c r="M10" s="65" t="s">
        <v>201</v>
      </c>
      <c r="R10" s="10"/>
      <c r="S10" s="10"/>
      <c r="T10" s="10"/>
      <c r="U10" s="10"/>
      <c r="V10" s="10"/>
      <c r="W10" s="10"/>
    </row>
    <row r="11" spans="1:23" s="11" customFormat="1" ht="12.75">
      <c r="A11" s="31"/>
      <c r="B11" s="2"/>
      <c r="C11" s="28" t="s">
        <v>18</v>
      </c>
      <c r="D11" s="22" t="s">
        <v>49</v>
      </c>
      <c r="E11" s="26">
        <v>5</v>
      </c>
      <c r="F11" s="26">
        <v>8</v>
      </c>
      <c r="G11" s="25">
        <f t="shared" si="0"/>
        <v>3</v>
      </c>
      <c r="H11" s="27">
        <f aca="true" t="shared" si="2" ref="H11:H17">E11/E$9</f>
        <v>0.003328894806924101</v>
      </c>
      <c r="I11" s="27">
        <f aca="true" t="shared" si="3" ref="I11:I17">F11/F$9</f>
        <v>0.004987531172069825</v>
      </c>
      <c r="J11" s="27">
        <f t="shared" si="1"/>
        <v>0.0016586363651457242</v>
      </c>
      <c r="K11" s="3"/>
      <c r="M11" s="65" t="s">
        <v>202</v>
      </c>
      <c r="R11" s="10"/>
      <c r="S11" s="10"/>
      <c r="T11" s="10"/>
      <c r="U11" s="10"/>
      <c r="V11" s="10"/>
      <c r="W11" s="10"/>
    </row>
    <row r="12" spans="1:23" s="11" customFormat="1" ht="25.5">
      <c r="A12" s="31"/>
      <c r="B12" s="2"/>
      <c r="C12" s="28" t="s">
        <v>19</v>
      </c>
      <c r="D12" s="22" t="s">
        <v>50</v>
      </c>
      <c r="E12" s="26">
        <v>0</v>
      </c>
      <c r="F12" s="26">
        <v>0</v>
      </c>
      <c r="G12" s="25">
        <f t="shared" si="0"/>
        <v>0</v>
      </c>
      <c r="H12" s="27">
        <f t="shared" si="2"/>
        <v>0</v>
      </c>
      <c r="I12" s="27">
        <f t="shared" si="3"/>
        <v>0</v>
      </c>
      <c r="J12" s="27">
        <f t="shared" si="1"/>
        <v>0</v>
      </c>
      <c r="K12" s="3"/>
      <c r="M12" s="65" t="s">
        <v>203</v>
      </c>
      <c r="R12" s="10"/>
      <c r="S12" s="10"/>
      <c r="T12" s="10"/>
      <c r="U12" s="10"/>
      <c r="V12" s="10"/>
      <c r="W12" s="10"/>
    </row>
    <row r="13" spans="1:23" s="11" customFormat="1" ht="12.75">
      <c r="A13" s="31"/>
      <c r="B13" s="2"/>
      <c r="C13" s="28" t="s">
        <v>20</v>
      </c>
      <c r="D13" s="22" t="s">
        <v>51</v>
      </c>
      <c r="E13" s="26">
        <v>8</v>
      </c>
      <c r="F13" s="26">
        <v>15</v>
      </c>
      <c r="G13" s="25">
        <f t="shared" si="0"/>
        <v>7</v>
      </c>
      <c r="H13" s="27">
        <f t="shared" si="2"/>
        <v>0.005326231691078562</v>
      </c>
      <c r="I13" s="27">
        <f t="shared" si="3"/>
        <v>0.009351620947630923</v>
      </c>
      <c r="J13" s="27">
        <f t="shared" si="1"/>
        <v>0.004025389256552361</v>
      </c>
      <c r="K13" s="3"/>
      <c r="M13" s="65" t="s">
        <v>204</v>
      </c>
      <c r="R13" s="10"/>
      <c r="S13" s="10"/>
      <c r="T13" s="10"/>
      <c r="U13" s="10"/>
      <c r="V13" s="10"/>
      <c r="W13" s="10"/>
    </row>
    <row r="14" spans="1:23" s="11" customFormat="1" ht="12.75">
      <c r="A14" s="31"/>
      <c r="B14" s="2"/>
      <c r="C14" s="28" t="s">
        <v>39</v>
      </c>
      <c r="D14" s="22" t="s">
        <v>5</v>
      </c>
      <c r="E14" s="26">
        <v>0</v>
      </c>
      <c r="F14" s="26">
        <v>0</v>
      </c>
      <c r="G14" s="25">
        <f t="shared" si="0"/>
        <v>0</v>
      </c>
      <c r="H14" s="27">
        <f t="shared" si="2"/>
        <v>0</v>
      </c>
      <c r="I14" s="27">
        <f t="shared" si="3"/>
        <v>0</v>
      </c>
      <c r="J14" s="27">
        <f t="shared" si="1"/>
        <v>0</v>
      </c>
      <c r="K14" s="3"/>
      <c r="M14" s="65" t="s">
        <v>205</v>
      </c>
      <c r="R14" s="10"/>
      <c r="S14" s="10"/>
      <c r="T14" s="10"/>
      <c r="U14" s="10"/>
      <c r="V14" s="10"/>
      <c r="W14" s="10"/>
    </row>
    <row r="15" spans="1:23" s="11" customFormat="1" ht="12.75">
      <c r="A15" s="31"/>
      <c r="B15" s="2"/>
      <c r="C15" s="28" t="s">
        <v>40</v>
      </c>
      <c r="D15" s="22" t="s">
        <v>52</v>
      </c>
      <c r="E15" s="26">
        <v>7</v>
      </c>
      <c r="F15" s="26">
        <v>15</v>
      </c>
      <c r="G15" s="25">
        <f t="shared" si="0"/>
        <v>8</v>
      </c>
      <c r="H15" s="27">
        <f t="shared" si="2"/>
        <v>0.004660452729693742</v>
      </c>
      <c r="I15" s="27">
        <f t="shared" si="3"/>
        <v>0.009351620947630923</v>
      </c>
      <c r="J15" s="27">
        <f t="shared" si="1"/>
        <v>0.004691168217937181</v>
      </c>
      <c r="K15" s="3"/>
      <c r="M15" s="65" t="s">
        <v>206</v>
      </c>
      <c r="R15" s="10"/>
      <c r="S15" s="10"/>
      <c r="T15" s="10"/>
      <c r="U15" s="10"/>
      <c r="V15" s="10"/>
      <c r="W15" s="10"/>
    </row>
    <row r="16" spans="1:23" s="11" customFormat="1" ht="12.75">
      <c r="A16" s="31"/>
      <c r="B16" s="2"/>
      <c r="C16" s="28" t="s">
        <v>41</v>
      </c>
      <c r="D16" s="22" t="s">
        <v>53</v>
      </c>
      <c r="E16" s="26">
        <v>0</v>
      </c>
      <c r="F16" s="26">
        <v>0</v>
      </c>
      <c r="G16" s="25">
        <f t="shared" si="0"/>
        <v>0</v>
      </c>
      <c r="H16" s="27">
        <f t="shared" si="2"/>
        <v>0</v>
      </c>
      <c r="I16" s="27">
        <f t="shared" si="3"/>
        <v>0</v>
      </c>
      <c r="J16" s="27">
        <f t="shared" si="1"/>
        <v>0</v>
      </c>
      <c r="K16" s="3"/>
      <c r="M16" s="65" t="s">
        <v>207</v>
      </c>
      <c r="R16" s="10"/>
      <c r="S16" s="10"/>
      <c r="T16" s="10"/>
      <c r="U16" s="10"/>
      <c r="V16" s="10"/>
      <c r="W16" s="10"/>
    </row>
    <row r="17" spans="1:23" s="11" customFormat="1" ht="25.5">
      <c r="A17" s="31"/>
      <c r="B17" s="2"/>
      <c r="C17" s="28" t="s">
        <v>42</v>
      </c>
      <c r="D17" s="22" t="s">
        <v>54</v>
      </c>
      <c r="E17" s="26">
        <v>32</v>
      </c>
      <c r="F17" s="26">
        <v>37</v>
      </c>
      <c r="G17" s="25">
        <f t="shared" si="0"/>
        <v>5</v>
      </c>
      <c r="H17" s="27">
        <f t="shared" si="2"/>
        <v>0.02130492676431425</v>
      </c>
      <c r="I17" s="27">
        <f t="shared" si="3"/>
        <v>0.023067331670822942</v>
      </c>
      <c r="J17" s="27">
        <f t="shared" si="1"/>
        <v>0.0017624049065086932</v>
      </c>
      <c r="K17" s="3"/>
      <c r="M17" s="65" t="s">
        <v>208</v>
      </c>
      <c r="R17" s="10"/>
      <c r="S17" s="10"/>
      <c r="T17" s="10"/>
      <c r="U17" s="10"/>
      <c r="V17" s="10"/>
      <c r="W17" s="10"/>
    </row>
    <row r="18" spans="1:23" s="11" customFormat="1" ht="25.5">
      <c r="A18" s="31"/>
      <c r="B18" s="2"/>
      <c r="C18" s="28" t="s">
        <v>0</v>
      </c>
      <c r="D18" s="9" t="s">
        <v>63</v>
      </c>
      <c r="E18" s="25">
        <f>SUM(E19:E26)</f>
        <v>1500</v>
      </c>
      <c r="F18" s="25">
        <f>SUM(F19:F26)</f>
        <v>1606</v>
      </c>
      <c r="G18" s="25">
        <f>F18-E18</f>
        <v>106</v>
      </c>
      <c r="H18" s="27">
        <f>SUM(H19:H26)</f>
        <v>0.9999999999999999</v>
      </c>
      <c r="I18" s="27">
        <f>SUM(I19:I26)</f>
        <v>1</v>
      </c>
      <c r="J18" s="27">
        <f t="shared" si="1"/>
        <v>0</v>
      </c>
      <c r="K18" s="3"/>
      <c r="M18" s="64" t="s">
        <v>209</v>
      </c>
      <c r="R18" s="10"/>
      <c r="S18" s="10"/>
      <c r="T18" s="10"/>
      <c r="U18" s="10"/>
      <c r="V18" s="10"/>
      <c r="W18" s="10"/>
    </row>
    <row r="19" spans="1:23" s="11" customFormat="1" ht="25.5">
      <c r="A19" s="31"/>
      <c r="B19" s="2"/>
      <c r="C19" s="28" t="s">
        <v>12</v>
      </c>
      <c r="D19" s="22" t="s">
        <v>55</v>
      </c>
      <c r="E19" s="26">
        <v>49</v>
      </c>
      <c r="F19" s="26">
        <v>25</v>
      </c>
      <c r="G19" s="25">
        <f t="shared" si="0"/>
        <v>-24</v>
      </c>
      <c r="H19" s="27">
        <f>E19/E$18</f>
        <v>0.03266666666666666</v>
      </c>
      <c r="I19" s="27">
        <f>F19/F$18</f>
        <v>0.015566625155666251</v>
      </c>
      <c r="J19" s="27">
        <f t="shared" si="1"/>
        <v>-0.017100041511000412</v>
      </c>
      <c r="K19" s="3"/>
      <c r="M19" s="64" t="s">
        <v>210</v>
      </c>
      <c r="R19" s="10"/>
      <c r="S19" s="10"/>
      <c r="T19" s="10"/>
      <c r="U19" s="10"/>
      <c r="V19" s="10"/>
      <c r="W19" s="10"/>
    </row>
    <row r="20" spans="1:23" s="11" customFormat="1" ht="25.5">
      <c r="A20" s="31"/>
      <c r="B20" s="2"/>
      <c r="C20" s="28" t="s">
        <v>21</v>
      </c>
      <c r="D20" s="22" t="s">
        <v>56</v>
      </c>
      <c r="E20" s="26">
        <v>796</v>
      </c>
      <c r="F20" s="26">
        <v>820</v>
      </c>
      <c r="G20" s="25">
        <f t="shared" si="0"/>
        <v>24</v>
      </c>
      <c r="H20" s="27">
        <f aca="true" t="shared" si="4" ref="H20:H26">E20/E$18</f>
        <v>0.5306666666666666</v>
      </c>
      <c r="I20" s="27">
        <f aca="true" t="shared" si="5" ref="I20:I26">F20/F$18</f>
        <v>0.5105853051058531</v>
      </c>
      <c r="J20" s="27">
        <f t="shared" si="1"/>
        <v>-0.020081361560813527</v>
      </c>
      <c r="K20" s="3"/>
      <c r="M20" s="64" t="s">
        <v>211</v>
      </c>
      <c r="R20" s="10"/>
      <c r="S20" s="10"/>
      <c r="T20" s="10"/>
      <c r="U20" s="10"/>
      <c r="V20" s="10"/>
      <c r="W20" s="10"/>
    </row>
    <row r="21" spans="1:23" s="11" customFormat="1" ht="25.5">
      <c r="A21" s="31"/>
      <c r="B21" s="2"/>
      <c r="C21" s="28" t="s">
        <v>22</v>
      </c>
      <c r="D21" s="22" t="s">
        <v>57</v>
      </c>
      <c r="E21" s="26">
        <v>330</v>
      </c>
      <c r="F21" s="26">
        <v>369</v>
      </c>
      <c r="G21" s="25">
        <f t="shared" si="0"/>
        <v>39</v>
      </c>
      <c r="H21" s="27">
        <f t="shared" si="4"/>
        <v>0.22</v>
      </c>
      <c r="I21" s="27">
        <f t="shared" si="5"/>
        <v>0.22976338729763388</v>
      </c>
      <c r="J21" s="27">
        <f t="shared" si="1"/>
        <v>0.009763387297633874</v>
      </c>
      <c r="K21" s="3"/>
      <c r="M21" s="64" t="s">
        <v>212</v>
      </c>
      <c r="R21" s="10"/>
      <c r="S21" s="10"/>
      <c r="T21" s="10"/>
      <c r="U21" s="10"/>
      <c r="V21" s="10"/>
      <c r="W21" s="10"/>
    </row>
    <row r="22" spans="1:23" s="11" customFormat="1" ht="12.75">
      <c r="A22" s="31"/>
      <c r="B22" s="2"/>
      <c r="C22" s="28" t="s">
        <v>23</v>
      </c>
      <c r="D22" s="22" t="s">
        <v>58</v>
      </c>
      <c r="E22" s="26">
        <v>0</v>
      </c>
      <c r="F22" s="26">
        <v>0</v>
      </c>
      <c r="G22" s="25">
        <f t="shared" si="0"/>
        <v>0</v>
      </c>
      <c r="H22" s="27">
        <f t="shared" si="4"/>
        <v>0</v>
      </c>
      <c r="I22" s="27">
        <f t="shared" si="5"/>
        <v>0</v>
      </c>
      <c r="J22" s="27">
        <f t="shared" si="1"/>
        <v>0</v>
      </c>
      <c r="K22" s="3"/>
      <c r="M22" s="64" t="s">
        <v>213</v>
      </c>
      <c r="R22" s="10"/>
      <c r="S22" s="10"/>
      <c r="T22" s="10"/>
      <c r="U22" s="10"/>
      <c r="V22" s="10"/>
      <c r="W22" s="10"/>
    </row>
    <row r="23" spans="1:23" s="11" customFormat="1" ht="12.75">
      <c r="A23" s="31"/>
      <c r="B23" s="2"/>
      <c r="C23" s="28" t="s">
        <v>43</v>
      </c>
      <c r="D23" s="22" t="s">
        <v>59</v>
      </c>
      <c r="E23" s="26">
        <v>0</v>
      </c>
      <c r="F23" s="26">
        <v>0</v>
      </c>
      <c r="G23" s="25">
        <f t="shared" si="0"/>
        <v>0</v>
      </c>
      <c r="H23" s="27">
        <f t="shared" si="4"/>
        <v>0</v>
      </c>
      <c r="I23" s="27">
        <f t="shared" si="5"/>
        <v>0</v>
      </c>
      <c r="J23" s="27">
        <f t="shared" si="1"/>
        <v>0</v>
      </c>
      <c r="K23" s="3"/>
      <c r="M23" s="66"/>
      <c r="R23" s="10"/>
      <c r="S23" s="10"/>
      <c r="T23" s="10"/>
      <c r="U23" s="10"/>
      <c r="V23" s="10"/>
      <c r="W23" s="10"/>
    </row>
    <row r="24" spans="1:23" s="11" customFormat="1" ht="25.5">
      <c r="A24" s="31"/>
      <c r="B24" s="2"/>
      <c r="C24" s="28" t="s">
        <v>44</v>
      </c>
      <c r="D24" s="22" t="s">
        <v>60</v>
      </c>
      <c r="E24" s="26">
        <v>0</v>
      </c>
      <c r="F24" s="26">
        <v>0</v>
      </c>
      <c r="G24" s="25">
        <f t="shared" si="0"/>
        <v>0</v>
      </c>
      <c r="H24" s="27">
        <f t="shared" si="4"/>
        <v>0</v>
      </c>
      <c r="I24" s="27">
        <f t="shared" si="5"/>
        <v>0</v>
      </c>
      <c r="J24" s="27">
        <f t="shared" si="1"/>
        <v>0</v>
      </c>
      <c r="K24" s="3"/>
      <c r="M24" s="66"/>
      <c r="R24" s="10"/>
      <c r="S24" s="10"/>
      <c r="T24" s="10"/>
      <c r="U24" s="10"/>
      <c r="V24" s="10"/>
      <c r="W24" s="10"/>
    </row>
    <row r="25" spans="1:23" s="11" customFormat="1" ht="12.75">
      <c r="A25" s="31"/>
      <c r="B25" s="2"/>
      <c r="C25" s="28" t="s">
        <v>45</v>
      </c>
      <c r="D25" s="22" t="s">
        <v>61</v>
      </c>
      <c r="E25" s="26">
        <v>35</v>
      </c>
      <c r="F25" s="26">
        <v>14</v>
      </c>
      <c r="G25" s="25">
        <f t="shared" si="0"/>
        <v>-21</v>
      </c>
      <c r="H25" s="27">
        <f t="shared" si="4"/>
        <v>0.023333333333333334</v>
      </c>
      <c r="I25" s="27">
        <f t="shared" si="5"/>
        <v>0.008717310087173101</v>
      </c>
      <c r="J25" s="27">
        <f t="shared" si="1"/>
        <v>-0.014616023246160233</v>
      </c>
      <c r="K25" s="3"/>
      <c r="M25" s="66"/>
      <c r="R25" s="10"/>
      <c r="S25" s="10"/>
      <c r="T25" s="10"/>
      <c r="U25" s="10"/>
      <c r="V25" s="10"/>
      <c r="W25" s="10"/>
    </row>
    <row r="26" spans="1:23" s="11" customFormat="1" ht="12.75">
      <c r="A26" s="31"/>
      <c r="B26" s="2"/>
      <c r="C26" s="28" t="s">
        <v>46</v>
      </c>
      <c r="D26" s="22" t="s">
        <v>62</v>
      </c>
      <c r="E26" s="26">
        <v>290</v>
      </c>
      <c r="F26" s="26">
        <v>378</v>
      </c>
      <c r="G26" s="25">
        <f t="shared" si="0"/>
        <v>88</v>
      </c>
      <c r="H26" s="27">
        <f t="shared" si="4"/>
        <v>0.19333333333333333</v>
      </c>
      <c r="I26" s="27">
        <f t="shared" si="5"/>
        <v>0.23536737235367372</v>
      </c>
      <c r="J26" s="27">
        <f t="shared" si="1"/>
        <v>0.04203403902034039</v>
      </c>
      <c r="K26" s="3"/>
      <c r="M26" s="66"/>
      <c r="R26" s="10"/>
      <c r="S26" s="10"/>
      <c r="T26" s="10"/>
      <c r="U26" s="10"/>
      <c r="V26" s="10"/>
      <c r="W26" s="10"/>
    </row>
    <row r="27" spans="1:23" s="11" customFormat="1" ht="25.5">
      <c r="A27" s="31"/>
      <c r="B27" s="2"/>
      <c r="C27" s="28" t="s">
        <v>24</v>
      </c>
      <c r="D27" s="9" t="s">
        <v>47</v>
      </c>
      <c r="E27" s="25">
        <f>E9+E8-E18</f>
        <v>12</v>
      </c>
      <c r="F27" s="25">
        <f>F9+F8-F18</f>
        <v>10</v>
      </c>
      <c r="G27" s="25">
        <f t="shared" si="0"/>
        <v>-2</v>
      </c>
      <c r="H27" s="29" t="s">
        <v>6</v>
      </c>
      <c r="I27" s="29" t="s">
        <v>6</v>
      </c>
      <c r="J27" s="26" t="s">
        <v>6</v>
      </c>
      <c r="K27" s="3"/>
      <c r="M27" s="66"/>
      <c r="R27" s="10"/>
      <c r="S27" s="10"/>
      <c r="T27" s="10"/>
      <c r="U27" s="10"/>
      <c r="V27" s="10"/>
      <c r="W27" s="10"/>
    </row>
    <row r="28" spans="2:11" ht="11.25" thickBot="1">
      <c r="B28" s="4"/>
      <c r="C28" s="20"/>
      <c r="D28" s="20"/>
      <c r="E28" s="20"/>
      <c r="F28" s="20"/>
      <c r="G28" s="20"/>
      <c r="H28" s="20"/>
      <c r="I28" s="20"/>
      <c r="J28" s="20"/>
      <c r="K28" s="21"/>
    </row>
    <row r="30" spans="4:8" ht="12" customHeight="1">
      <c r="D30" s="74" t="s">
        <v>64</v>
      </c>
      <c r="E30" s="35" t="s">
        <v>65</v>
      </c>
      <c r="F30" s="36" t="str">
        <f>IF(E9='Т1'!E9,"ОК!","ОШИБКА!")</f>
        <v>ОК!</v>
      </c>
      <c r="G30" s="35" t="s">
        <v>68</v>
      </c>
      <c r="H30" s="36" t="str">
        <f>IF(F9='Т1'!F9,"ОК!","ОШИБКА!")</f>
        <v>ОК!</v>
      </c>
    </row>
    <row r="31" spans="4:8" ht="12" customHeight="1">
      <c r="D31" s="74"/>
      <c r="E31" s="35" t="s">
        <v>66</v>
      </c>
      <c r="F31" s="36" t="str">
        <f>IF(E18='Т1'!E13,"ОК!","ОШИБКА!")</f>
        <v>ОК!</v>
      </c>
      <c r="G31" s="35" t="s">
        <v>69</v>
      </c>
      <c r="H31" s="36" t="str">
        <f>IF(F18='Т1'!F13,"ОК!","ОШИБКА!")</f>
        <v>ОК!</v>
      </c>
    </row>
    <row r="32" spans="4:8" ht="12" customHeight="1">
      <c r="D32" s="74"/>
      <c r="E32" s="35" t="s">
        <v>67</v>
      </c>
      <c r="F32" s="36" t="str">
        <f>IF(E27='Т1'!E17,"ОК!","ОШИБКА!")</f>
        <v>ОК!</v>
      </c>
      <c r="G32" s="35" t="s">
        <v>70</v>
      </c>
      <c r="H32" s="36" t="str">
        <f>IF(F27='Т1'!F17,"ОК!","ОШИБКА!")</f>
        <v>ОК!</v>
      </c>
    </row>
  </sheetData>
  <sheetProtection/>
  <mergeCells count="7">
    <mergeCell ref="D30:D32"/>
    <mergeCell ref="C3:J3"/>
    <mergeCell ref="C4:J4"/>
    <mergeCell ref="C6:C7"/>
    <mergeCell ref="D6:D7"/>
    <mergeCell ref="E6:G6"/>
    <mergeCell ref="H6:J6"/>
  </mergeCells>
  <hyperlinks>
    <hyperlink ref="M2" location="Т1!A1" display="Т-1 Анализ движения денежных средств"/>
    <hyperlink ref="M3" location="Т2!A1" display="Т-2 Структура притока и оттока денежных средств"/>
    <hyperlink ref="M4" location="Т3!A1" display="Т-3 Анализ коэффициентов ликвидности"/>
    <hyperlink ref="M5" location="Т4!A1" display="Т-4 Анализ коэффициентов платежеспособности"/>
    <hyperlink ref="M6" location="Т5!A1" display="Т-5 Анализ чистого денежного потока"/>
    <hyperlink ref="M7" location="Т6!A1" display="Т-6 Анализ дебиторской и кредиторской задолженности"/>
    <hyperlink ref="M8" location="Т7!A1" display="Т-7 Сравнение дебиторской и кредиторской задолженности "/>
    <hyperlink ref="M9" location="Т8!A1" display="Т-8 Прогнозирование динамики денежных поступлений"/>
    <hyperlink ref="M10" location="Т9!A1" display="Т-9 Прогнозируемый бюджет денежных средств"/>
    <hyperlink ref="M11" location="Т10!A1" display="Т-10 Расчет объема требуемого краткосрочного финансирования "/>
    <hyperlink ref="M12" location="Т11!A1" display="Т-11 Показатели для расчета коэффициента эластичности поступления денежных средств"/>
    <hyperlink ref="M13" location="Т12!A1" display="Т-12 Исходная информация для прогнозирования поступления денежных средств"/>
    <hyperlink ref="M14" location="Т13!A1" display="Т-13 Расчетная таблица прогнозных значений поступления денежных средств"/>
    <hyperlink ref="M15" location="Т14!A1" display="Т-14 Расчет показателей финансовой устойчивости деятельности"/>
    <hyperlink ref="M16" location="Т15!A1" display="Т-15 Факторы, оказывающие влияние на изменение чистого денежного потока"/>
    <hyperlink ref="M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M18" location="Т17!A1" display="Т-17 Расчет влияния факторов на изменение чистого денежного потока от операционной деятельности"/>
    <hyperlink ref="M19" location="Т18!A1" display="Т-18 Факторы, оказывающие влияние на изменение чистого денежного потока по финансовой деятельности"/>
    <hyperlink ref="M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M21" location="Т20!A1" display="Т-20 Расчет влияния факторов на изменение чистого денежного потока от операционной деятельности"/>
    <hyperlink ref="M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J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375" style="1" customWidth="1"/>
    <col min="2" max="2" width="3.25390625" style="1" customWidth="1"/>
    <col min="3" max="3" width="7.25390625" style="12" bestFit="1" customWidth="1"/>
    <col min="4" max="4" width="67.25390625" style="12" customWidth="1"/>
    <col min="5" max="5" width="13.25390625" style="13" customWidth="1"/>
    <col min="6" max="6" width="3.00390625" style="1" customWidth="1"/>
    <col min="7" max="7" width="2.75390625" style="1" customWidth="1"/>
    <col min="8" max="8" width="79.125" style="66" customWidth="1"/>
    <col min="9" max="9" width="2.753906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1.25" thickBot="1">
      <c r="B1" s="5" t="s">
        <v>2</v>
      </c>
      <c r="C1" s="5"/>
      <c r="D1" s="5"/>
      <c r="E1" s="30"/>
      <c r="F1" s="5"/>
      <c r="G1" s="5"/>
      <c r="H1" s="63"/>
      <c r="I1" s="5"/>
      <c r="J1" s="5"/>
      <c r="K1" s="5"/>
    </row>
    <row r="2" spans="2:36" ht="18">
      <c r="B2" s="14"/>
      <c r="C2" s="15"/>
      <c r="D2" s="15"/>
      <c r="E2" s="15"/>
      <c r="F2" s="16"/>
      <c r="H2" s="64" t="s">
        <v>193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41.25" customHeight="1">
      <c r="B3" s="17"/>
      <c r="C3" s="67" t="str">
        <f>CONCATENATE("Расчет влияния факторов на изменение чистого денежного потока от операционной деятельности в ",'Т10'!C4:G4)</f>
        <v>Расчет влияния факторов на изменение чистого денежного потока от операционной деятельности в ЗАО "Стройэксперт"</v>
      </c>
      <c r="D3" s="67"/>
      <c r="E3" s="67"/>
      <c r="F3" s="18"/>
      <c r="H3" s="64" t="s">
        <v>194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8">
      <c r="B4" s="17"/>
      <c r="C4" s="7"/>
      <c r="D4" s="7"/>
      <c r="E4" s="7"/>
      <c r="F4" s="18"/>
      <c r="H4" s="64" t="s">
        <v>195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25">
      <c r="B5" s="19"/>
      <c r="C5" s="72" t="s">
        <v>10</v>
      </c>
      <c r="D5" s="72" t="s">
        <v>147</v>
      </c>
      <c r="E5" s="80" t="s">
        <v>159</v>
      </c>
      <c r="F5" s="18"/>
      <c r="H5" s="64" t="s">
        <v>196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4.25">
      <c r="B6" s="19"/>
      <c r="C6" s="73"/>
      <c r="D6" s="73"/>
      <c r="E6" s="81"/>
      <c r="F6" s="18"/>
      <c r="H6" s="64" t="s">
        <v>197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18" s="11" customFormat="1" ht="12.75">
      <c r="A7" s="31"/>
      <c r="B7" s="2"/>
      <c r="C7" s="23">
        <v>1</v>
      </c>
      <c r="D7" s="9" t="s">
        <v>160</v>
      </c>
      <c r="E7" s="25">
        <f>'Т19'!E8-'Т19'!E7</f>
        <v>8</v>
      </c>
      <c r="F7" s="3"/>
      <c r="H7" s="64" t="s">
        <v>198</v>
      </c>
      <c r="M7" s="10"/>
      <c r="N7" s="10"/>
      <c r="O7" s="10"/>
      <c r="P7" s="10"/>
      <c r="Q7" s="10"/>
      <c r="R7" s="10"/>
    </row>
    <row r="8" spans="1:18" s="11" customFormat="1" ht="12.75">
      <c r="A8" s="31"/>
      <c r="B8" s="2"/>
      <c r="C8" s="23">
        <v>2</v>
      </c>
      <c r="D8" s="9" t="s">
        <v>168</v>
      </c>
      <c r="E8" s="25">
        <f>'Т19'!E9-'Т19'!E8</f>
        <v>0</v>
      </c>
      <c r="F8" s="3"/>
      <c r="H8" s="65" t="s">
        <v>199</v>
      </c>
      <c r="M8" s="10"/>
      <c r="N8" s="10"/>
      <c r="O8" s="10"/>
      <c r="P8" s="10"/>
      <c r="Q8" s="10"/>
      <c r="R8" s="10"/>
    </row>
    <row r="9" spans="1:18" s="11" customFormat="1" ht="12.75">
      <c r="A9" s="31"/>
      <c r="B9" s="2"/>
      <c r="C9" s="23">
        <v>3</v>
      </c>
      <c r="D9" s="9" t="s">
        <v>162</v>
      </c>
      <c r="E9" s="25">
        <f>'Т19'!E10-'Т19'!E9</f>
        <v>-88</v>
      </c>
      <c r="F9" s="3"/>
      <c r="H9" s="65" t="s">
        <v>200</v>
      </c>
      <c r="M9" s="10"/>
      <c r="N9" s="10"/>
      <c r="O9" s="10"/>
      <c r="P9" s="10"/>
      <c r="Q9" s="10"/>
      <c r="R9" s="10"/>
    </row>
    <row r="10" spans="1:18" s="11" customFormat="1" ht="12.75">
      <c r="A10" s="31"/>
      <c r="B10" s="2"/>
      <c r="C10" s="23">
        <v>4</v>
      </c>
      <c r="D10" s="9" t="s">
        <v>167</v>
      </c>
      <c r="E10" s="25">
        <f>SUM(E7:E9)</f>
        <v>-80</v>
      </c>
      <c r="F10" s="3"/>
      <c r="H10" s="65" t="s">
        <v>201</v>
      </c>
      <c r="M10" s="10"/>
      <c r="N10" s="10"/>
      <c r="O10" s="10"/>
      <c r="P10" s="10"/>
      <c r="Q10" s="10"/>
      <c r="R10" s="10"/>
    </row>
    <row r="11" spans="2:8" ht="13.5" thickBot="1">
      <c r="B11" s="4"/>
      <c r="C11" s="20"/>
      <c r="D11" s="20"/>
      <c r="E11" s="20"/>
      <c r="F11" s="21"/>
      <c r="H11" s="65" t="s">
        <v>202</v>
      </c>
    </row>
    <row r="12" ht="25.5">
      <c r="H12" s="65" t="s">
        <v>203</v>
      </c>
    </row>
    <row r="13" ht="12.75">
      <c r="H13" s="65" t="s">
        <v>204</v>
      </c>
    </row>
    <row r="14" ht="12.75">
      <c r="H14" s="65" t="s">
        <v>205</v>
      </c>
    </row>
    <row r="15" ht="12.75">
      <c r="H15" s="65" t="s">
        <v>206</v>
      </c>
    </row>
    <row r="16" ht="12.75">
      <c r="H16" s="65" t="s">
        <v>207</v>
      </c>
    </row>
    <row r="17" ht="25.5">
      <c r="H17" s="65" t="s">
        <v>208</v>
      </c>
    </row>
    <row r="18" ht="25.5">
      <c r="H18" s="64" t="s">
        <v>209</v>
      </c>
    </row>
    <row r="19" ht="25.5">
      <c r="H19" s="64" t="s">
        <v>210</v>
      </c>
    </row>
    <row r="20" ht="25.5">
      <c r="H20" s="64" t="s">
        <v>211</v>
      </c>
    </row>
    <row r="21" ht="25.5">
      <c r="H21" s="64" t="s">
        <v>212</v>
      </c>
    </row>
    <row r="22" ht="12.75">
      <c r="H22" s="64" t="s">
        <v>213</v>
      </c>
    </row>
    <row r="23" ht="10.5"/>
  </sheetData>
  <sheetProtection/>
  <mergeCells count="4">
    <mergeCell ref="C3:E3"/>
    <mergeCell ref="C5:C6"/>
    <mergeCell ref="D5:D6"/>
    <mergeCell ref="E5:E6"/>
  </mergeCells>
  <hyperlinks>
    <hyperlink ref="H2" location="Т1!A1" display="Т-1 Анализ движения денежных средств"/>
    <hyperlink ref="H3" location="Т2!A1" display="Т-2 Структура притока и оттока денежных средств"/>
    <hyperlink ref="H4" location="Т3!A1" display="Т-3 Анализ коэффициентов ликвидности"/>
    <hyperlink ref="H5" location="Т4!A1" display="Т-4 Анализ коэффициентов платежеспособности"/>
    <hyperlink ref="H6" location="Т5!A1" display="Т-5 Анализ чистого денежного потока"/>
    <hyperlink ref="H7" location="Т6!A1" display="Т-6 Анализ дебиторской и кредиторской задолженности"/>
    <hyperlink ref="H8" location="Т7!A1" display="Т-7 Сравнение дебиторской и кредиторской задолженности "/>
    <hyperlink ref="H9" location="Т8!A1" display="Т-8 Прогнозирование динамики денежных поступлений"/>
    <hyperlink ref="H10" location="Т9!A1" display="Т-9 Прогнозируемый бюджет денежных средств"/>
    <hyperlink ref="H11" location="Т10!A1" display="Т-10 Расчет объема требуемого краткосрочного финансирования "/>
    <hyperlink ref="H12" location="Т11!A1" display="Т-11 Показатели для расчета коэффициента эластичности поступления денежных средств"/>
    <hyperlink ref="H13" location="Т12!A1" display="Т-12 Исходная информация для прогнозирования поступления денежных средств"/>
    <hyperlink ref="H14" location="Т13!A1" display="Т-13 Расчетная таблица прогнозных значений поступления денежных средств"/>
    <hyperlink ref="H15" location="Т14!A1" display="Т-14 Расчет показателей финансовой устойчивости деятельности"/>
    <hyperlink ref="H16" location="Т15!A1" display="Т-15 Факторы, оказывающие влияние на изменение чистого денежного потока"/>
    <hyperlink ref="H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H18" location="Т17!A1" display="Т-17 Расчет влияния факторов на изменение чистого денежного потока от операционной деятельности"/>
    <hyperlink ref="H19" location="Т18!A1" display="Т-18 Факторы, оказывающие влияние на изменение чистого денежного потока по финансовой деятельности"/>
    <hyperlink ref="H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H21" location="Т20!A1" display="Т-20 Расчет влияния факторов на изменение чистого денежного потока от операционной деятельности"/>
    <hyperlink ref="H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41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375" style="1" customWidth="1"/>
    <col min="2" max="2" width="3.25390625" style="1" customWidth="1"/>
    <col min="3" max="3" width="7.25390625" style="12" bestFit="1" customWidth="1"/>
    <col min="4" max="4" width="26.75390625" style="12" customWidth="1"/>
    <col min="5" max="16" width="12.375" style="13" customWidth="1"/>
    <col min="17" max="17" width="9.625" style="13" customWidth="1"/>
    <col min="18" max="18" width="3.00390625" style="1" customWidth="1"/>
    <col min="19" max="19" width="2.75390625" style="1" customWidth="1"/>
    <col min="20" max="20" width="79.125" style="66" customWidth="1"/>
    <col min="21" max="21" width="2.75390625" style="1" customWidth="1"/>
    <col min="22" max="22" width="6.625" style="1" bestFit="1" customWidth="1"/>
    <col min="23" max="24" width="2.75390625" style="1" customWidth="1"/>
    <col min="25" max="29" width="3.25390625" style="1" bestFit="1" customWidth="1"/>
    <col min="30" max="30" width="4.75390625" style="1" bestFit="1" customWidth="1"/>
    <col min="31" max="16384" width="2.75390625" style="1" customWidth="1"/>
  </cols>
  <sheetData>
    <row r="1" spans="2:23" ht="11.25" thickBot="1">
      <c r="B1" s="5" t="s">
        <v>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0"/>
      <c r="Q1" s="30"/>
      <c r="R1" s="5"/>
      <c r="S1" s="5"/>
      <c r="T1" s="63"/>
      <c r="U1" s="5"/>
      <c r="V1" s="5"/>
      <c r="W1" s="5"/>
    </row>
    <row r="2" spans="2:48" ht="18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T2" s="64" t="s">
        <v>193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2:48" ht="18">
      <c r="B3" s="17"/>
      <c r="C3" s="67" t="str">
        <f>CONCATENATE("Динамика денежных потоков в  ",'Т10'!C4:G4," в ",'Т7'!F6," году")</f>
        <v>Динамика денежных потоков в  ЗАО "Стройэксперт" в 2010 году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8"/>
      <c r="T3" s="64" t="s">
        <v>194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8" ht="18">
      <c r="B4" s="1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8"/>
      <c r="T4" s="64" t="s">
        <v>195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48" ht="14.25">
      <c r="B5" s="19"/>
      <c r="C5" s="72" t="s">
        <v>10</v>
      </c>
      <c r="D5" s="72" t="s">
        <v>8</v>
      </c>
      <c r="E5" s="69" t="s">
        <v>171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  <c r="Q5" s="80" t="s">
        <v>184</v>
      </c>
      <c r="R5" s="18"/>
      <c r="T5" s="64" t="s">
        <v>196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8" ht="14.25">
      <c r="B6" s="19"/>
      <c r="C6" s="73"/>
      <c r="D6" s="73"/>
      <c r="E6" s="55" t="s">
        <v>172</v>
      </c>
      <c r="F6" s="55" t="s">
        <v>173</v>
      </c>
      <c r="G6" s="55" t="s">
        <v>174</v>
      </c>
      <c r="H6" s="55" t="s">
        <v>175</v>
      </c>
      <c r="I6" s="55" t="s">
        <v>176</v>
      </c>
      <c r="J6" s="55" t="s">
        <v>177</v>
      </c>
      <c r="K6" s="55" t="s">
        <v>178</v>
      </c>
      <c r="L6" s="55" t="s">
        <v>179</v>
      </c>
      <c r="M6" s="55" t="s">
        <v>180</v>
      </c>
      <c r="N6" s="55" t="s">
        <v>181</v>
      </c>
      <c r="O6" s="55" t="s">
        <v>182</v>
      </c>
      <c r="P6" s="55" t="s">
        <v>183</v>
      </c>
      <c r="Q6" s="81"/>
      <c r="R6" s="18"/>
      <c r="T6" s="64" t="s">
        <v>197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30" s="11" customFormat="1" ht="25.5">
      <c r="A7" s="31"/>
      <c r="B7" s="2"/>
      <c r="C7" s="23">
        <v>1</v>
      </c>
      <c r="D7" s="9" t="s">
        <v>169</v>
      </c>
      <c r="E7" s="26">
        <v>97</v>
      </c>
      <c r="F7" s="26">
        <v>95</v>
      </c>
      <c r="G7" s="26">
        <v>131</v>
      </c>
      <c r="H7" s="26">
        <v>114</v>
      </c>
      <c r="I7" s="26">
        <v>124</v>
      </c>
      <c r="J7" s="26">
        <v>134</v>
      </c>
      <c r="K7" s="26">
        <v>153</v>
      </c>
      <c r="L7" s="26">
        <v>149</v>
      </c>
      <c r="M7" s="26">
        <v>134</v>
      </c>
      <c r="N7" s="26">
        <v>150</v>
      </c>
      <c r="O7" s="26">
        <v>153</v>
      </c>
      <c r="P7" s="26">
        <v>170</v>
      </c>
      <c r="Q7" s="25">
        <f>SUM(E7:P7)</f>
        <v>1604</v>
      </c>
      <c r="R7" s="3"/>
      <c r="T7" s="64" t="s">
        <v>198</v>
      </c>
      <c r="Y7" s="10"/>
      <c r="Z7" s="10"/>
      <c r="AA7" s="10"/>
      <c r="AB7" s="10"/>
      <c r="AC7" s="10"/>
      <c r="AD7" s="10"/>
    </row>
    <row r="8" spans="1:30" s="11" customFormat="1" ht="25.5">
      <c r="A8" s="31"/>
      <c r="B8" s="2"/>
      <c r="C8" s="23">
        <v>2</v>
      </c>
      <c r="D8" s="9" t="s">
        <v>170</v>
      </c>
      <c r="E8" s="26">
        <v>120</v>
      </c>
      <c r="F8" s="26">
        <v>93</v>
      </c>
      <c r="G8" s="26">
        <v>126</v>
      </c>
      <c r="H8" s="26">
        <v>128</v>
      </c>
      <c r="I8" s="26">
        <v>128</v>
      </c>
      <c r="J8" s="26">
        <v>135</v>
      </c>
      <c r="K8" s="26">
        <v>148</v>
      </c>
      <c r="L8" s="26">
        <v>152</v>
      </c>
      <c r="M8" s="26">
        <v>133</v>
      </c>
      <c r="N8" s="26">
        <v>145</v>
      </c>
      <c r="O8" s="26">
        <v>148</v>
      </c>
      <c r="P8" s="26">
        <v>150</v>
      </c>
      <c r="Q8" s="25">
        <f>SUM(E8:P8)</f>
        <v>1606</v>
      </c>
      <c r="R8" s="3"/>
      <c r="T8" s="65" t="s">
        <v>199</v>
      </c>
      <c r="Y8" s="10"/>
      <c r="Z8" s="10"/>
      <c r="AA8" s="10"/>
      <c r="AB8" s="10"/>
      <c r="AC8" s="10"/>
      <c r="AD8" s="10"/>
    </row>
    <row r="9" spans="1:30" s="11" customFormat="1" ht="12.75">
      <c r="A9" s="31"/>
      <c r="B9" s="2"/>
      <c r="C9" s="23">
        <v>3</v>
      </c>
      <c r="D9" s="9" t="s">
        <v>137</v>
      </c>
      <c r="E9" s="25">
        <f>E7-E8</f>
        <v>-23</v>
      </c>
      <c r="F9" s="25">
        <f aca="true" t="shared" si="0" ref="F9:P9">F7-F8</f>
        <v>2</v>
      </c>
      <c r="G9" s="25">
        <f t="shared" si="0"/>
        <v>5</v>
      </c>
      <c r="H9" s="25">
        <f t="shared" si="0"/>
        <v>-14</v>
      </c>
      <c r="I9" s="25">
        <f t="shared" si="0"/>
        <v>-4</v>
      </c>
      <c r="J9" s="25">
        <f t="shared" si="0"/>
        <v>-1</v>
      </c>
      <c r="K9" s="25">
        <f t="shared" si="0"/>
        <v>5</v>
      </c>
      <c r="L9" s="25">
        <f t="shared" si="0"/>
        <v>-3</v>
      </c>
      <c r="M9" s="25">
        <f t="shared" si="0"/>
        <v>1</v>
      </c>
      <c r="N9" s="25">
        <f t="shared" si="0"/>
        <v>5</v>
      </c>
      <c r="O9" s="25">
        <f t="shared" si="0"/>
        <v>5</v>
      </c>
      <c r="P9" s="25">
        <f t="shared" si="0"/>
        <v>20</v>
      </c>
      <c r="Q9" s="25">
        <f>SUM(E9:P9)</f>
        <v>-2</v>
      </c>
      <c r="R9" s="3"/>
      <c r="T9" s="65" t="s">
        <v>200</v>
      </c>
      <c r="Y9" s="10"/>
      <c r="Z9" s="10"/>
      <c r="AA9" s="10"/>
      <c r="AB9" s="10"/>
      <c r="AC9" s="10"/>
      <c r="AD9" s="10"/>
    </row>
    <row r="10" spans="1:30" s="11" customFormat="1" ht="12.75">
      <c r="A10" s="31"/>
      <c r="B10" s="2"/>
      <c r="C10" s="24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3"/>
      <c r="T10" s="65" t="s">
        <v>201</v>
      </c>
      <c r="Y10" s="10"/>
      <c r="Z10" s="10"/>
      <c r="AA10" s="10"/>
      <c r="AB10" s="10"/>
      <c r="AC10" s="10"/>
      <c r="AD10" s="10"/>
    </row>
    <row r="11" spans="1:30" s="11" customFormat="1" ht="12.75">
      <c r="A11" s="31"/>
      <c r="B11" s="2"/>
      <c r="C11" s="24"/>
      <c r="D11" s="84" t="s">
        <v>185</v>
      </c>
      <c r="E11" s="84"/>
      <c r="F11" s="84"/>
      <c r="G11" s="84"/>
      <c r="H11" s="84"/>
      <c r="I11" s="25">
        <f>STDEVA(E7:P7)</f>
        <v>23.152982660137013</v>
      </c>
      <c r="J11" s="57"/>
      <c r="K11" s="57"/>
      <c r="L11" s="57"/>
      <c r="M11" s="57"/>
      <c r="N11" s="57"/>
      <c r="O11" s="57"/>
      <c r="P11" s="57"/>
      <c r="Q11" s="57"/>
      <c r="R11" s="3"/>
      <c r="T11" s="65" t="s">
        <v>202</v>
      </c>
      <c r="Y11" s="10"/>
      <c r="Z11" s="10"/>
      <c r="AA11" s="10"/>
      <c r="AB11" s="10"/>
      <c r="AC11" s="10"/>
      <c r="AD11" s="10"/>
    </row>
    <row r="12" spans="1:30" s="11" customFormat="1" ht="25.5">
      <c r="A12" s="31"/>
      <c r="B12" s="2"/>
      <c r="C12" s="24"/>
      <c r="D12" s="84" t="s">
        <v>186</v>
      </c>
      <c r="E12" s="84"/>
      <c r="F12" s="84"/>
      <c r="G12" s="84"/>
      <c r="H12" s="84"/>
      <c r="I12" s="25">
        <f>STDEVA(E8:P8)</f>
        <v>16.808187038320064</v>
      </c>
      <c r="J12" s="57"/>
      <c r="K12" s="57"/>
      <c r="L12" s="57"/>
      <c r="M12" s="57"/>
      <c r="N12" s="57"/>
      <c r="O12" s="57"/>
      <c r="P12" s="57"/>
      <c r="Q12" s="57"/>
      <c r="R12" s="3"/>
      <c r="T12" s="65" t="s">
        <v>203</v>
      </c>
      <c r="Y12" s="10"/>
      <c r="Z12" s="10"/>
      <c r="AA12" s="10"/>
      <c r="AB12" s="10"/>
      <c r="AC12" s="10"/>
      <c r="AD12" s="10"/>
    </row>
    <row r="13" spans="1:30" s="11" customFormat="1" ht="12.75">
      <c r="A13" s="31"/>
      <c r="B13" s="2"/>
      <c r="C13" s="24"/>
      <c r="D13" s="84" t="s">
        <v>187</v>
      </c>
      <c r="E13" s="84"/>
      <c r="F13" s="84"/>
      <c r="G13" s="84"/>
      <c r="H13" s="84"/>
      <c r="I13" s="58">
        <f>K11/AVERAGE(E7:P7)</f>
        <v>0</v>
      </c>
      <c r="J13" s="57"/>
      <c r="K13" s="57"/>
      <c r="L13" s="57"/>
      <c r="M13" s="57"/>
      <c r="N13" s="57"/>
      <c r="O13" s="57"/>
      <c r="P13" s="57"/>
      <c r="Q13" s="57"/>
      <c r="R13" s="3"/>
      <c r="T13" s="65" t="s">
        <v>204</v>
      </c>
      <c r="Y13" s="10"/>
      <c r="Z13" s="10"/>
      <c r="AA13" s="10"/>
      <c r="AB13" s="10"/>
      <c r="AC13" s="10"/>
      <c r="AD13" s="10"/>
    </row>
    <row r="14" spans="1:30" s="11" customFormat="1" ht="12.75">
      <c r="A14" s="31"/>
      <c r="B14" s="2"/>
      <c r="C14" s="24"/>
      <c r="D14" s="84" t="s">
        <v>188</v>
      </c>
      <c r="E14" s="84"/>
      <c r="F14" s="84"/>
      <c r="G14" s="84"/>
      <c r="H14" s="84"/>
      <c r="I14" s="58">
        <f>K12/AVERAGE(E8:P8)</f>
        <v>0</v>
      </c>
      <c r="J14" s="57"/>
      <c r="K14" s="57"/>
      <c r="L14" s="57"/>
      <c r="M14" s="57"/>
      <c r="N14" s="57"/>
      <c r="O14" s="57"/>
      <c r="P14" s="57"/>
      <c r="Q14" s="57"/>
      <c r="R14" s="3"/>
      <c r="T14" s="65" t="s">
        <v>205</v>
      </c>
      <c r="Y14" s="10"/>
      <c r="Z14" s="10"/>
      <c r="AA14" s="10"/>
      <c r="AB14" s="10"/>
      <c r="AC14" s="10"/>
      <c r="AD14" s="10"/>
    </row>
    <row r="15" spans="1:30" s="11" customFormat="1" ht="12.75">
      <c r="A15" s="31"/>
      <c r="B15" s="2"/>
      <c r="C15" s="24"/>
      <c r="D15" s="84" t="s">
        <v>189</v>
      </c>
      <c r="E15" s="84"/>
      <c r="F15" s="84"/>
      <c r="G15" s="84"/>
      <c r="H15" s="84"/>
      <c r="I15" s="25">
        <f>CORREL(E7:P7,E8:P8)</f>
        <v>0.9050581410591287</v>
      </c>
      <c r="J15" s="57"/>
      <c r="K15" s="57"/>
      <c r="L15" s="57"/>
      <c r="M15" s="57"/>
      <c r="N15" s="57"/>
      <c r="O15" s="57"/>
      <c r="P15" s="57"/>
      <c r="Q15" s="57"/>
      <c r="R15" s="3"/>
      <c r="T15" s="65" t="s">
        <v>206</v>
      </c>
      <c r="Y15" s="10"/>
      <c r="Z15" s="10"/>
      <c r="AA15" s="10"/>
      <c r="AB15" s="10"/>
      <c r="AC15" s="10"/>
      <c r="AD15" s="10"/>
    </row>
    <row r="16" spans="1:30" s="11" customFormat="1" ht="12.75">
      <c r="A16" s="31"/>
      <c r="B16" s="2"/>
      <c r="C16" s="24"/>
      <c r="D16" s="84" t="s">
        <v>190</v>
      </c>
      <c r="E16" s="84"/>
      <c r="F16" s="84"/>
      <c r="G16" s="84"/>
      <c r="H16" s="84"/>
      <c r="I16" s="25">
        <f>Q7/Q8</f>
        <v>0.9987546699875467</v>
      </c>
      <c r="J16" s="57"/>
      <c r="K16" s="57"/>
      <c r="L16" s="57"/>
      <c r="M16" s="57"/>
      <c r="N16" s="57"/>
      <c r="O16" s="57"/>
      <c r="P16" s="57"/>
      <c r="Q16" s="57"/>
      <c r="R16" s="3"/>
      <c r="T16" s="65" t="s">
        <v>207</v>
      </c>
      <c r="Y16" s="10"/>
      <c r="Z16" s="10"/>
      <c r="AA16" s="10"/>
      <c r="AB16" s="10"/>
      <c r="AC16" s="10"/>
      <c r="AD16" s="10"/>
    </row>
    <row r="17" spans="1:30" s="11" customFormat="1" ht="25.5">
      <c r="A17" s="31"/>
      <c r="B17" s="2"/>
      <c r="C17" s="24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3"/>
      <c r="T17" s="65" t="s">
        <v>208</v>
      </c>
      <c r="Y17" s="10"/>
      <c r="Z17" s="10"/>
      <c r="AA17" s="10"/>
      <c r="AB17" s="10"/>
      <c r="AC17" s="10"/>
      <c r="AD17" s="10"/>
    </row>
    <row r="18" spans="1:30" s="11" customFormat="1" ht="25.5">
      <c r="A18" s="31"/>
      <c r="B18" s="2"/>
      <c r="C18" s="24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3"/>
      <c r="T18" s="64" t="s">
        <v>209</v>
      </c>
      <c r="Y18" s="10"/>
      <c r="Z18" s="10"/>
      <c r="AA18" s="10"/>
      <c r="AB18" s="10"/>
      <c r="AC18" s="10"/>
      <c r="AD18" s="10"/>
    </row>
    <row r="19" spans="1:30" s="11" customFormat="1" ht="25.5">
      <c r="A19" s="31"/>
      <c r="B19" s="2"/>
      <c r="C19" s="24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3"/>
      <c r="T19" s="64" t="s">
        <v>210</v>
      </c>
      <c r="Y19" s="10"/>
      <c r="Z19" s="10"/>
      <c r="AA19" s="10"/>
      <c r="AB19" s="10"/>
      <c r="AC19" s="10"/>
      <c r="AD19" s="10"/>
    </row>
    <row r="20" spans="1:30" s="11" customFormat="1" ht="25.5">
      <c r="A20" s="31"/>
      <c r="B20" s="2"/>
      <c r="C20" s="24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"/>
      <c r="T20" s="64" t="s">
        <v>211</v>
      </c>
      <c r="Y20" s="10"/>
      <c r="Z20" s="10"/>
      <c r="AA20" s="10"/>
      <c r="AB20" s="10"/>
      <c r="AC20" s="10"/>
      <c r="AD20" s="10"/>
    </row>
    <row r="21" spans="1:30" s="11" customFormat="1" ht="25.5">
      <c r="A21" s="31"/>
      <c r="B21" s="2"/>
      <c r="C21" s="24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/>
      <c r="T21" s="64" t="s">
        <v>212</v>
      </c>
      <c r="Y21" s="10"/>
      <c r="Z21" s="10"/>
      <c r="AA21" s="10"/>
      <c r="AB21" s="10"/>
      <c r="AC21" s="10"/>
      <c r="AD21" s="10"/>
    </row>
    <row r="22" spans="1:30" s="11" customFormat="1" ht="12.75">
      <c r="A22" s="31"/>
      <c r="B22" s="2"/>
      <c r="C22" s="24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/>
      <c r="T22" s="64" t="s">
        <v>213</v>
      </c>
      <c r="Y22" s="10"/>
      <c r="Z22" s="10"/>
      <c r="AA22" s="10"/>
      <c r="AB22" s="10"/>
      <c r="AC22" s="10"/>
      <c r="AD22" s="10"/>
    </row>
    <row r="23" spans="1:30" s="11" customFormat="1" ht="12.75">
      <c r="A23" s="31"/>
      <c r="B23" s="2"/>
      <c r="C23" s="24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/>
      <c r="T23" s="66"/>
      <c r="Y23" s="10"/>
      <c r="Z23" s="10"/>
      <c r="AA23" s="10"/>
      <c r="AB23" s="10"/>
      <c r="AC23" s="10"/>
      <c r="AD23" s="10"/>
    </row>
    <row r="24" spans="1:30" s="11" customFormat="1" ht="12.75">
      <c r="A24" s="31"/>
      <c r="B24" s="2"/>
      <c r="C24" s="24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/>
      <c r="T24" s="66"/>
      <c r="Y24" s="10"/>
      <c r="Z24" s="10"/>
      <c r="AA24" s="10"/>
      <c r="AB24" s="10"/>
      <c r="AC24" s="10"/>
      <c r="AD24" s="10"/>
    </row>
    <row r="25" spans="1:30" s="11" customFormat="1" ht="12.75">
      <c r="A25" s="31"/>
      <c r="B25" s="2"/>
      <c r="C25" s="24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/>
      <c r="T25" s="66"/>
      <c r="Y25" s="10"/>
      <c r="Z25" s="10"/>
      <c r="AA25" s="10"/>
      <c r="AB25" s="10"/>
      <c r="AC25" s="10"/>
      <c r="AD25" s="10"/>
    </row>
    <row r="26" spans="1:30" s="11" customFormat="1" ht="12.75">
      <c r="A26" s="31"/>
      <c r="B26" s="2"/>
      <c r="C26" s="24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/>
      <c r="T26" s="66"/>
      <c r="Y26" s="10"/>
      <c r="Z26" s="10"/>
      <c r="AA26" s="10"/>
      <c r="AB26" s="10"/>
      <c r="AC26" s="10"/>
      <c r="AD26" s="10"/>
    </row>
    <row r="27" spans="1:30" s="11" customFormat="1" ht="12.75">
      <c r="A27" s="31"/>
      <c r="B27" s="2"/>
      <c r="C27" s="24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/>
      <c r="T27" s="66"/>
      <c r="Y27" s="10"/>
      <c r="Z27" s="10"/>
      <c r="AA27" s="10"/>
      <c r="AB27" s="10"/>
      <c r="AC27" s="10"/>
      <c r="AD27" s="10"/>
    </row>
    <row r="28" spans="1:30" s="11" customFormat="1" ht="12.75">
      <c r="A28" s="31"/>
      <c r="B28" s="2"/>
      <c r="C28" s="24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/>
      <c r="T28" s="66"/>
      <c r="Y28" s="10"/>
      <c r="Z28" s="10"/>
      <c r="AA28" s="10"/>
      <c r="AB28" s="10"/>
      <c r="AC28" s="10"/>
      <c r="AD28" s="10"/>
    </row>
    <row r="29" spans="1:30" s="11" customFormat="1" ht="12.75">
      <c r="A29" s="31"/>
      <c r="B29" s="2"/>
      <c r="C29" s="24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/>
      <c r="T29" s="66"/>
      <c r="Y29" s="10"/>
      <c r="Z29" s="10"/>
      <c r="AA29" s="10"/>
      <c r="AB29" s="10"/>
      <c r="AC29" s="10"/>
      <c r="AD29" s="10"/>
    </row>
    <row r="30" spans="1:30" s="11" customFormat="1" ht="12.75">
      <c r="A30" s="31"/>
      <c r="B30" s="2"/>
      <c r="C30" s="24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/>
      <c r="T30" s="66"/>
      <c r="Y30" s="10"/>
      <c r="Z30" s="10"/>
      <c r="AA30" s="10"/>
      <c r="AB30" s="10"/>
      <c r="AC30" s="10"/>
      <c r="AD30" s="10"/>
    </row>
    <row r="31" spans="1:30" s="11" customFormat="1" ht="12.75">
      <c r="A31" s="31"/>
      <c r="B31" s="2"/>
      <c r="C31" s="24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/>
      <c r="T31" s="66"/>
      <c r="Y31" s="10"/>
      <c r="Z31" s="10"/>
      <c r="AA31" s="10"/>
      <c r="AB31" s="10"/>
      <c r="AC31" s="10"/>
      <c r="AD31" s="10"/>
    </row>
    <row r="32" spans="1:30" s="11" customFormat="1" ht="12.75">
      <c r="A32" s="31"/>
      <c r="B32" s="2"/>
      <c r="C32" s="24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3"/>
      <c r="T32" s="66"/>
      <c r="Y32" s="10"/>
      <c r="Z32" s="10"/>
      <c r="AA32" s="10"/>
      <c r="AB32" s="10"/>
      <c r="AC32" s="10"/>
      <c r="AD32" s="10"/>
    </row>
    <row r="33" spans="1:30" s="11" customFormat="1" ht="12.75">
      <c r="A33" s="31"/>
      <c r="B33" s="2"/>
      <c r="C33" s="24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3"/>
      <c r="T33" s="66"/>
      <c r="Y33" s="10"/>
      <c r="Z33" s="10"/>
      <c r="AA33" s="10"/>
      <c r="AB33" s="10"/>
      <c r="AC33" s="10"/>
      <c r="AD33" s="10"/>
    </row>
    <row r="34" spans="1:30" s="11" customFormat="1" ht="12.75">
      <c r="A34" s="31"/>
      <c r="B34" s="2"/>
      <c r="C34" s="24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3"/>
      <c r="T34" s="66"/>
      <c r="Y34" s="10"/>
      <c r="Z34" s="10"/>
      <c r="AA34" s="10"/>
      <c r="AB34" s="10"/>
      <c r="AC34" s="10"/>
      <c r="AD34" s="10"/>
    </row>
    <row r="35" spans="1:30" s="11" customFormat="1" ht="12.75">
      <c r="A35" s="31"/>
      <c r="B35" s="2"/>
      <c r="C35" s="24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3"/>
      <c r="T35" s="66"/>
      <c r="Y35" s="10"/>
      <c r="Z35" s="10"/>
      <c r="AA35" s="10"/>
      <c r="AB35" s="10"/>
      <c r="AC35" s="10"/>
      <c r="AD35" s="10"/>
    </row>
    <row r="36" spans="1:30" s="11" customFormat="1" ht="12.75">
      <c r="A36" s="31"/>
      <c r="B36" s="2"/>
      <c r="C36" s="24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3"/>
      <c r="T36" s="66"/>
      <c r="Y36" s="10"/>
      <c r="Z36" s="10"/>
      <c r="AA36" s="10"/>
      <c r="AB36" s="10"/>
      <c r="AC36" s="10"/>
      <c r="AD36" s="10"/>
    </row>
    <row r="37" spans="1:30" s="11" customFormat="1" ht="12.75">
      <c r="A37" s="31"/>
      <c r="B37" s="2"/>
      <c r="C37" s="24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3"/>
      <c r="T37" s="66"/>
      <c r="Y37" s="10"/>
      <c r="Z37" s="10"/>
      <c r="AA37" s="10"/>
      <c r="AB37" s="10"/>
      <c r="AC37" s="10"/>
      <c r="AD37" s="10"/>
    </row>
    <row r="38" spans="1:30" s="11" customFormat="1" ht="13.5" thickBot="1">
      <c r="A38" s="31"/>
      <c r="B38" s="4"/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  <c r="T38" s="66"/>
      <c r="Y38" s="10"/>
      <c r="Z38" s="10"/>
      <c r="AA38" s="10"/>
      <c r="AB38" s="10"/>
      <c r="AC38" s="10"/>
      <c r="AD38" s="10"/>
    </row>
    <row r="40" spans="4:6" ht="12" customHeight="1">
      <c r="D40" s="74" t="s">
        <v>64</v>
      </c>
      <c r="E40" s="35" t="s">
        <v>191</v>
      </c>
      <c r="F40" s="36" t="str">
        <f>IF(Q7='Т1'!F9,"ОК!","ОШИБКА!")</f>
        <v>ОК!</v>
      </c>
    </row>
    <row r="41" spans="4:6" ht="12" customHeight="1">
      <c r="D41" s="74"/>
      <c r="E41" s="35" t="s">
        <v>192</v>
      </c>
      <c r="F41" s="36" t="str">
        <f>IF(Q8='Т1'!F13,"ОК!","ОШИБКА!")</f>
        <v>ОК!</v>
      </c>
    </row>
  </sheetData>
  <sheetProtection/>
  <mergeCells count="12">
    <mergeCell ref="C3:Q3"/>
    <mergeCell ref="C5:C6"/>
    <mergeCell ref="D5:D6"/>
    <mergeCell ref="E5:P5"/>
    <mergeCell ref="Q5:Q6"/>
    <mergeCell ref="D16:H16"/>
    <mergeCell ref="D40:D41"/>
    <mergeCell ref="D11:H11"/>
    <mergeCell ref="D12:H12"/>
    <mergeCell ref="D13:H13"/>
    <mergeCell ref="D14:H14"/>
    <mergeCell ref="D15:H15"/>
  </mergeCells>
  <hyperlinks>
    <hyperlink ref="T2" location="Т1!A1" display="Т-1 Анализ движения денежных средств"/>
    <hyperlink ref="T3" location="Т2!A1" display="Т-2 Структура притока и оттока денежных средств"/>
    <hyperlink ref="T4" location="Т3!A1" display="Т-3 Анализ коэффициентов ликвидности"/>
    <hyperlink ref="T5" location="Т4!A1" display="Т-4 Анализ коэффициентов платежеспособности"/>
    <hyperlink ref="T6" location="Т5!A1" display="Т-5 Анализ чистого денежного потока"/>
    <hyperlink ref="T7" location="Т6!A1" display="Т-6 Анализ дебиторской и кредиторской задолженности"/>
    <hyperlink ref="T8" location="Т7!A1" display="Т-7 Сравнение дебиторской и кредиторской задолженности "/>
    <hyperlink ref="T9" location="Т8!A1" display="Т-8 Прогнозирование динамики денежных поступлений"/>
    <hyperlink ref="T10" location="Т9!A1" display="Т-9 Прогнозируемый бюджет денежных средств"/>
    <hyperlink ref="T11" location="Т10!A1" display="Т-10 Расчет объема требуемого краткосрочного финансирования "/>
    <hyperlink ref="T12" location="Т11!A1" display="Т-11 Показатели для расчета коэффициента эластичности поступления денежных средств"/>
    <hyperlink ref="T13" location="Т12!A1" display="Т-12 Исходная информация для прогнозирования поступления денежных средств"/>
    <hyperlink ref="T14" location="Т13!A1" display="Т-13 Расчетная таблица прогнозных значений поступления денежных средств"/>
    <hyperlink ref="T15" location="Т14!A1" display="Т-14 Расчет показателей финансовой устойчивости деятельности"/>
    <hyperlink ref="T16" location="Т15!A1" display="Т-15 Факторы, оказывающие влияние на изменение чистого денежного потока"/>
    <hyperlink ref="T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T18" location="Т17!A1" display="Т-17 Расчет влияния факторов на изменение чистого денежного потока от операционной деятельности"/>
    <hyperlink ref="T19" location="Т18!A1" display="Т-18 Факторы, оказывающие влияние на изменение чистого денежного потока по финансовой деятельности"/>
    <hyperlink ref="T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T21" location="Т20!A1" display="Т-20 Расчет влияния факторов на изменение чистого денежного потока от операционной деятельности"/>
    <hyperlink ref="T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2"/>
  <headerFooter>
    <oddFooter>&amp;L&amp;"Tahoma,обычный"&amp;6© ИПС ЭКСПЕРТ&amp;C&amp;"Tahoma,обычный"&amp;6(017) 354 78 92, 354 78 76&amp;R&amp;"Tahoma,обычный"&amp;6www.expert.by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25390625" style="1" customWidth="1"/>
    <col min="2" max="2" width="3.25390625" style="1" customWidth="1"/>
    <col min="3" max="3" width="7.25390625" style="12" bestFit="1" customWidth="1"/>
    <col min="4" max="4" width="46.75390625" style="12" customWidth="1"/>
    <col min="5" max="5" width="13.00390625" style="13" customWidth="1"/>
    <col min="6" max="6" width="12.25390625" style="13" customWidth="1"/>
    <col min="7" max="7" width="10.1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17"/>
      <c r="C3" s="67" t="str">
        <f>CONCATENATE("Анализ коэффициентов ликвидности за ",'Т2'!F7," год")</f>
        <v>Анализ коэффициентов ликвидности за 2010 год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3" t="str">
        <f>CONCATENATE("на начало ",'Т2'!F7)</f>
        <v>на начало 2010</v>
      </c>
      <c r="F6" s="33" t="str">
        <f>CONCATENATE("на конец ",'Т2'!F7)</f>
        <v>на конец 2010</v>
      </c>
      <c r="G6" s="33" t="s">
        <v>36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28</v>
      </c>
      <c r="E7" s="25">
        <f>E15/E16</f>
        <v>1.8333333333333333</v>
      </c>
      <c r="F7" s="25">
        <f>F15/F16</f>
        <v>2.0161290322580645</v>
      </c>
      <c r="G7" s="25">
        <f>F7-E7</f>
        <v>0.18279569892473124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71</v>
      </c>
      <c r="E8" s="25">
        <f>(E17+E18+E19)/E16</f>
        <v>0.35833333333333334</v>
      </c>
      <c r="F8" s="25">
        <f>(F17+F18+F19)/F16</f>
        <v>0.3870967741935484</v>
      </c>
      <c r="G8" s="25">
        <f>F8-E8</f>
        <v>0.02876344086021504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8" t="s">
        <v>0</v>
      </c>
      <c r="D9" s="9" t="s">
        <v>29</v>
      </c>
      <c r="E9" s="25">
        <f>(E18+E17)/E16</f>
        <v>0.13333333333333333</v>
      </c>
      <c r="F9" s="25">
        <f>(F18+F17)/F16</f>
        <v>0.12903225806451613</v>
      </c>
      <c r="G9" s="25">
        <f>F9-E9</f>
        <v>-0.004301075268817206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37"/>
      <c r="D10" s="37"/>
      <c r="E10" s="37"/>
      <c r="F10" s="37"/>
      <c r="G10" s="37"/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2.75">
      <c r="A11" s="31"/>
      <c r="B11" s="2"/>
      <c r="C11" s="37"/>
      <c r="D11" s="37"/>
      <c r="E11" s="37"/>
      <c r="F11" s="37"/>
      <c r="G11" s="37"/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67" t="s">
        <v>72</v>
      </c>
      <c r="D12" s="67"/>
      <c r="E12" s="67"/>
      <c r="F12" s="67"/>
      <c r="G12" s="67"/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12.75">
      <c r="A13" s="31"/>
      <c r="B13" s="2"/>
      <c r="C13" s="37"/>
      <c r="D13" s="37"/>
      <c r="E13" s="37"/>
      <c r="F13" s="37"/>
      <c r="G13" s="37"/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25.5">
      <c r="A14" s="31"/>
      <c r="B14" s="2"/>
      <c r="C14" s="8" t="s">
        <v>10</v>
      </c>
      <c r="D14" s="8" t="s">
        <v>73</v>
      </c>
      <c r="E14" s="33" t="str">
        <f>E6</f>
        <v>на начало 2010</v>
      </c>
      <c r="F14" s="33" t="str">
        <f>F6</f>
        <v>на конец 2010</v>
      </c>
      <c r="G14" s="37"/>
      <c r="H14" s="3"/>
      <c r="J14" s="65" t="s">
        <v>205</v>
      </c>
      <c r="O14" s="10"/>
      <c r="P14" s="10"/>
      <c r="Q14" s="10"/>
      <c r="R14" s="10"/>
      <c r="S14" s="10"/>
      <c r="T14" s="10"/>
    </row>
    <row r="15" spans="1:20" s="11" customFormat="1" ht="12.75">
      <c r="A15" s="31"/>
      <c r="B15" s="2"/>
      <c r="C15" s="28" t="s">
        <v>3</v>
      </c>
      <c r="D15" s="9" t="s">
        <v>75</v>
      </c>
      <c r="E15" s="26">
        <v>220</v>
      </c>
      <c r="F15" s="26">
        <v>250</v>
      </c>
      <c r="G15" s="37"/>
      <c r="H15" s="3"/>
      <c r="J15" s="65" t="s">
        <v>206</v>
      </c>
      <c r="O15" s="10"/>
      <c r="P15" s="10"/>
      <c r="Q15" s="10"/>
      <c r="R15" s="10"/>
      <c r="S15" s="10"/>
      <c r="T15" s="10"/>
    </row>
    <row r="16" spans="1:20" s="11" customFormat="1" ht="12.75">
      <c r="A16" s="31"/>
      <c r="B16" s="2"/>
      <c r="C16" s="28" t="s">
        <v>1</v>
      </c>
      <c r="D16" s="9" t="s">
        <v>74</v>
      </c>
      <c r="E16" s="26">
        <v>120</v>
      </c>
      <c r="F16" s="26">
        <v>124</v>
      </c>
      <c r="G16" s="37"/>
      <c r="H16" s="3"/>
      <c r="J16" s="65" t="s">
        <v>207</v>
      </c>
      <c r="O16" s="10"/>
      <c r="P16" s="10"/>
      <c r="Q16" s="10"/>
      <c r="R16" s="10"/>
      <c r="S16" s="10"/>
      <c r="T16" s="10"/>
    </row>
    <row r="17" spans="1:20" s="11" customFormat="1" ht="25.5">
      <c r="A17" s="31"/>
      <c r="B17" s="2"/>
      <c r="C17" s="28" t="s">
        <v>0</v>
      </c>
      <c r="D17" s="9" t="s">
        <v>76</v>
      </c>
      <c r="E17" s="26">
        <v>12</v>
      </c>
      <c r="F17" s="26">
        <v>10</v>
      </c>
      <c r="G17" s="37"/>
      <c r="H17" s="3"/>
      <c r="J17" s="65" t="s">
        <v>208</v>
      </c>
      <c r="O17" s="10"/>
      <c r="P17" s="10"/>
      <c r="Q17" s="10"/>
      <c r="R17" s="10"/>
      <c r="S17" s="10"/>
      <c r="T17" s="10"/>
    </row>
    <row r="18" spans="1:20" s="11" customFormat="1" ht="25.5">
      <c r="A18" s="31"/>
      <c r="B18" s="2"/>
      <c r="C18" s="28" t="s">
        <v>24</v>
      </c>
      <c r="D18" s="9" t="s">
        <v>77</v>
      </c>
      <c r="E18" s="26">
        <v>4</v>
      </c>
      <c r="F18" s="26">
        <v>6</v>
      </c>
      <c r="G18" s="37"/>
      <c r="H18" s="3"/>
      <c r="J18" s="64" t="s">
        <v>209</v>
      </c>
      <c r="O18" s="10"/>
      <c r="P18" s="10"/>
      <c r="Q18" s="10"/>
      <c r="R18" s="10"/>
      <c r="S18" s="10"/>
      <c r="T18" s="10"/>
    </row>
    <row r="19" spans="1:20" s="11" customFormat="1" ht="38.25">
      <c r="A19" s="31"/>
      <c r="B19" s="2"/>
      <c r="C19" s="28" t="s">
        <v>25</v>
      </c>
      <c r="D19" s="9" t="s">
        <v>78</v>
      </c>
      <c r="E19" s="26">
        <v>27</v>
      </c>
      <c r="F19" s="26">
        <v>32</v>
      </c>
      <c r="G19" s="37"/>
      <c r="H19" s="3"/>
      <c r="J19" s="64" t="s">
        <v>210</v>
      </c>
      <c r="O19" s="10"/>
      <c r="P19" s="10"/>
      <c r="Q19" s="10"/>
      <c r="R19" s="10"/>
      <c r="S19" s="10"/>
      <c r="T19" s="10"/>
    </row>
    <row r="20" spans="2:10" ht="26.25" thickBot="1">
      <c r="B20" s="4"/>
      <c r="C20" s="20"/>
      <c r="D20" s="20"/>
      <c r="E20" s="20"/>
      <c r="F20" s="20"/>
      <c r="G20" s="20"/>
      <c r="H20" s="21"/>
      <c r="J20" s="64" t="s">
        <v>211</v>
      </c>
    </row>
    <row r="21" ht="25.5">
      <c r="J21" s="64" t="s">
        <v>212</v>
      </c>
    </row>
    <row r="22" ht="12.75">
      <c r="J22" s="64" t="s">
        <v>213</v>
      </c>
    </row>
  </sheetData>
  <sheetProtection/>
  <mergeCells count="3">
    <mergeCell ref="C12:G12"/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875" style="1" customWidth="1"/>
    <col min="2" max="2" width="3.25390625" style="1" customWidth="1"/>
    <col min="3" max="3" width="7.25390625" style="12" bestFit="1" customWidth="1"/>
    <col min="4" max="4" width="46.75390625" style="12" customWidth="1"/>
    <col min="5" max="5" width="13.00390625" style="13" customWidth="1"/>
    <col min="6" max="6" width="12.25390625" style="13" customWidth="1"/>
    <col min="7" max="7" width="10.1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17"/>
      <c r="C3" s="67" t="str">
        <f>CONCATENATE("Анализ коэффициентов платежеспособности за ",E6,"-",F6," годы")</f>
        <v>Анализ коэффициентов платежеспособности за 2009-2010 годы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3">
        <f>'Т2'!E7</f>
        <v>2009</v>
      </c>
      <c r="F6" s="33">
        <f>'Т2'!F7</f>
        <v>2010</v>
      </c>
      <c r="G6" s="33" t="s">
        <v>36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86</v>
      </c>
      <c r="E7" s="25">
        <f>(E14+E15)/E16</f>
        <v>1.008</v>
      </c>
      <c r="F7" s="25">
        <f>(F14+F15)/F16</f>
        <v>1.0062266500622665</v>
      </c>
      <c r="G7" s="25">
        <f>F7-E7</f>
        <v>-0.0017733499377334816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87</v>
      </c>
      <c r="E8" s="25">
        <f>(E14+E15)/(E17+E18+E19)</f>
        <v>2.3261538461538462</v>
      </c>
      <c r="F8" s="25">
        <f>(F14+F15)/(F17+F18+F19)</f>
        <v>2.4119402985074627</v>
      </c>
      <c r="G8" s="25">
        <f>F8-E8</f>
        <v>0.08578645235361648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37"/>
      <c r="D9" s="37"/>
      <c r="E9" s="37"/>
      <c r="F9" s="37"/>
      <c r="G9" s="37"/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37"/>
      <c r="D10" s="37"/>
      <c r="E10" s="37"/>
      <c r="F10" s="37"/>
      <c r="G10" s="37"/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5">
      <c r="A11" s="31"/>
      <c r="B11" s="2"/>
      <c r="C11" s="67" t="s">
        <v>79</v>
      </c>
      <c r="D11" s="67"/>
      <c r="E11" s="67"/>
      <c r="F11" s="67"/>
      <c r="G11" s="67"/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37"/>
      <c r="D12" s="37"/>
      <c r="E12" s="37"/>
      <c r="F12" s="37"/>
      <c r="G12" s="37"/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25.5">
      <c r="A13" s="31"/>
      <c r="B13" s="2"/>
      <c r="C13" s="8" t="s">
        <v>10</v>
      </c>
      <c r="D13" s="8" t="s">
        <v>73</v>
      </c>
      <c r="E13" s="33">
        <f>E6</f>
        <v>2009</v>
      </c>
      <c r="F13" s="33">
        <f>F6</f>
        <v>2010</v>
      </c>
      <c r="G13" s="37"/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25.5">
      <c r="A14" s="31"/>
      <c r="B14" s="2"/>
      <c r="C14" s="28" t="s">
        <v>3</v>
      </c>
      <c r="D14" s="9" t="s">
        <v>83</v>
      </c>
      <c r="E14" s="25">
        <f>'Т1'!E8</f>
        <v>10</v>
      </c>
      <c r="F14" s="25">
        <f>'Т1'!F8</f>
        <v>12</v>
      </c>
      <c r="G14" s="37"/>
      <c r="H14" s="3"/>
      <c r="J14" s="65" t="s">
        <v>205</v>
      </c>
      <c r="O14" s="10"/>
      <c r="P14" s="10"/>
      <c r="Q14" s="10"/>
      <c r="R14" s="10"/>
      <c r="S14" s="10"/>
      <c r="T14" s="10"/>
    </row>
    <row r="15" spans="1:20" s="11" customFormat="1" ht="25.5">
      <c r="A15" s="31"/>
      <c r="B15" s="2"/>
      <c r="C15" s="28" t="s">
        <v>1</v>
      </c>
      <c r="D15" s="9" t="s">
        <v>84</v>
      </c>
      <c r="E15" s="25">
        <f>'Т1'!E9</f>
        <v>1502</v>
      </c>
      <c r="F15" s="25">
        <f>'Т1'!F9</f>
        <v>1604</v>
      </c>
      <c r="G15" s="37"/>
      <c r="H15" s="3"/>
      <c r="J15" s="65" t="s">
        <v>206</v>
      </c>
      <c r="O15" s="10"/>
      <c r="P15" s="10"/>
      <c r="Q15" s="10"/>
      <c r="R15" s="10"/>
      <c r="S15" s="10"/>
      <c r="T15" s="10"/>
    </row>
    <row r="16" spans="1:20" s="11" customFormat="1" ht="25.5">
      <c r="A16" s="31"/>
      <c r="B16" s="2"/>
      <c r="C16" s="28" t="s">
        <v>0</v>
      </c>
      <c r="D16" s="9" t="s">
        <v>85</v>
      </c>
      <c r="E16" s="25">
        <f>'Т1'!E13</f>
        <v>1500</v>
      </c>
      <c r="F16" s="25">
        <f>'Т1'!F13</f>
        <v>1606</v>
      </c>
      <c r="G16" s="37"/>
      <c r="H16" s="3"/>
      <c r="J16" s="65" t="s">
        <v>207</v>
      </c>
      <c r="O16" s="10"/>
      <c r="P16" s="10"/>
      <c r="Q16" s="10"/>
      <c r="R16" s="10"/>
      <c r="S16" s="10"/>
      <c r="T16" s="10"/>
    </row>
    <row r="17" spans="1:20" s="11" customFormat="1" ht="25.5">
      <c r="A17" s="31"/>
      <c r="B17" s="2"/>
      <c r="C17" s="28" t="s">
        <v>24</v>
      </c>
      <c r="D17" s="9" t="s">
        <v>80</v>
      </c>
      <c r="E17" s="26">
        <v>650</v>
      </c>
      <c r="F17" s="26">
        <v>670</v>
      </c>
      <c r="G17" s="37"/>
      <c r="H17" s="3"/>
      <c r="J17" s="65" t="s">
        <v>208</v>
      </c>
      <c r="O17" s="10"/>
      <c r="P17" s="10"/>
      <c r="Q17" s="10"/>
      <c r="R17" s="10"/>
      <c r="S17" s="10"/>
      <c r="T17" s="10"/>
    </row>
    <row r="18" spans="1:20" s="11" customFormat="1" ht="25.5">
      <c r="A18" s="31"/>
      <c r="B18" s="2"/>
      <c r="C18" s="28" t="s">
        <v>25</v>
      </c>
      <c r="D18" s="9" t="s">
        <v>81</v>
      </c>
      <c r="E18" s="26">
        <v>0</v>
      </c>
      <c r="F18" s="26">
        <v>0</v>
      </c>
      <c r="G18" s="37"/>
      <c r="H18" s="3"/>
      <c r="J18" s="64" t="s">
        <v>209</v>
      </c>
      <c r="O18" s="10"/>
      <c r="P18" s="10"/>
      <c r="Q18" s="10"/>
      <c r="R18" s="10"/>
      <c r="S18" s="10"/>
      <c r="T18" s="10"/>
    </row>
    <row r="19" spans="1:20" s="11" customFormat="1" ht="25.5">
      <c r="A19" s="31"/>
      <c r="B19" s="2"/>
      <c r="C19" s="28" t="s">
        <v>26</v>
      </c>
      <c r="D19" s="9" t="s">
        <v>82</v>
      </c>
      <c r="E19" s="26">
        <v>0</v>
      </c>
      <c r="F19" s="26">
        <v>0</v>
      </c>
      <c r="G19" s="37"/>
      <c r="H19" s="3"/>
      <c r="J19" s="64" t="s">
        <v>210</v>
      </c>
      <c r="O19" s="10"/>
      <c r="P19" s="10"/>
      <c r="Q19" s="10"/>
      <c r="R19" s="10"/>
      <c r="S19" s="10"/>
      <c r="T19" s="10"/>
    </row>
    <row r="20" spans="2:10" ht="26.25" thickBot="1">
      <c r="B20" s="4"/>
      <c r="C20" s="20"/>
      <c r="D20" s="20"/>
      <c r="E20" s="20"/>
      <c r="F20" s="20"/>
      <c r="G20" s="20"/>
      <c r="H20" s="21"/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</sheetData>
  <sheetProtection/>
  <mergeCells count="3">
    <mergeCell ref="C3:G3"/>
    <mergeCell ref="C4:G4"/>
    <mergeCell ref="C11:G11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12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3.00390625" style="13" customWidth="1"/>
    <col min="6" max="6" width="12.25390625" style="13" customWidth="1"/>
    <col min="7" max="7" width="11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17"/>
      <c r="C3" s="67" t="str">
        <f>CONCATENATE("Анализ чистого денежного потока за ",'Т2'!F7,"-",F6," годы (прямой метод)")</f>
        <v>Анализ чистого денежного потока за 2010-2010 годы (прямой метод)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3">
        <f>'Т2'!E7</f>
        <v>2009</v>
      </c>
      <c r="F6" s="33">
        <f>'Т2'!F7</f>
        <v>2010</v>
      </c>
      <c r="G6" s="33" t="s">
        <v>13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25.5">
      <c r="A7" s="31"/>
      <c r="B7" s="2"/>
      <c r="C7" s="23">
        <v>1</v>
      </c>
      <c r="D7" s="9" t="s">
        <v>88</v>
      </c>
      <c r="E7" s="25">
        <f>'Т1'!E10-'Т1'!E14</f>
        <v>50</v>
      </c>
      <c r="F7" s="25">
        <f>'Т1'!F10-'Т1'!F14</f>
        <v>60</v>
      </c>
      <c r="G7" s="27">
        <f>IF(E7=0,0,F7/E7)</f>
        <v>1.2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25.5">
      <c r="A8" s="31"/>
      <c r="B8" s="2"/>
      <c r="C8" s="23">
        <v>2</v>
      </c>
      <c r="D8" s="9" t="s">
        <v>89</v>
      </c>
      <c r="E8" s="25">
        <f>'Т1'!E11-'Т1'!E15</f>
        <v>-48</v>
      </c>
      <c r="F8" s="25">
        <f>'Т1'!F11-'Т1'!F15</f>
        <v>-62</v>
      </c>
      <c r="G8" s="27">
        <f>IF(E8=0,0,F8/E8)</f>
        <v>1.2916666666666667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25.5">
      <c r="A9" s="31"/>
      <c r="B9" s="2"/>
      <c r="C9" s="23">
        <v>3</v>
      </c>
      <c r="D9" s="9" t="s">
        <v>90</v>
      </c>
      <c r="E9" s="25">
        <f>'Т1'!E12-'Т1'!E16</f>
        <v>0</v>
      </c>
      <c r="F9" s="25">
        <f>'Т1'!F12-'Т1'!F16</f>
        <v>0</v>
      </c>
      <c r="G9" s="27">
        <f>IF(E9=0,0,F9/E9)</f>
        <v>0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25.5">
      <c r="A10" s="31"/>
      <c r="B10" s="2"/>
      <c r="C10" s="23">
        <v>4</v>
      </c>
      <c r="D10" s="9" t="s">
        <v>91</v>
      </c>
      <c r="E10" s="25">
        <f>'Т1'!E9-'Т1'!E13</f>
        <v>2</v>
      </c>
      <c r="F10" s="25">
        <f>'Т1'!F9-'Т1'!F13</f>
        <v>-2</v>
      </c>
      <c r="G10" s="27">
        <f>IF(E10=0,0,F10/E10)</f>
        <v>-1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2:10" ht="13.5" thickBot="1">
      <c r="B11" s="4"/>
      <c r="C11" s="20"/>
      <c r="D11" s="20"/>
      <c r="E11" s="20"/>
      <c r="F11" s="20"/>
      <c r="G11" s="20"/>
      <c r="H11" s="21"/>
      <c r="J11" s="65" t="s">
        <v>202</v>
      </c>
    </row>
    <row r="12" ht="25.5">
      <c r="J12" s="65" t="s">
        <v>203</v>
      </c>
    </row>
    <row r="13" ht="12.75">
      <c r="J13" s="65" t="s">
        <v>204</v>
      </c>
    </row>
    <row r="14" ht="12.75"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</sheetData>
  <sheetProtection/>
  <mergeCells count="2"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M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7539062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4.75390625" style="12" customWidth="1"/>
    <col min="6" max="6" width="13.00390625" style="13" customWidth="1"/>
    <col min="7" max="7" width="12.125" style="13" bestFit="1" customWidth="1"/>
    <col min="8" max="8" width="11.00390625" style="13" customWidth="1"/>
    <col min="9" max="9" width="3.00390625" style="1" customWidth="1"/>
    <col min="10" max="10" width="2.75390625" style="1" customWidth="1"/>
    <col min="11" max="11" width="79.125" style="66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1.25" thickBot="1">
      <c r="B1" s="5" t="s">
        <v>2</v>
      </c>
      <c r="C1" s="5"/>
      <c r="D1" s="5"/>
      <c r="E1" s="5"/>
      <c r="F1" s="5"/>
      <c r="G1" s="30"/>
      <c r="H1" s="5"/>
      <c r="I1" s="5"/>
      <c r="J1" s="5"/>
      <c r="K1" s="63"/>
      <c r="L1" s="5"/>
      <c r="M1" s="5"/>
      <c r="N1" s="5"/>
    </row>
    <row r="2" spans="2:39" ht="18">
      <c r="B2" s="14"/>
      <c r="C2" s="15"/>
      <c r="D2" s="15"/>
      <c r="E2" s="15"/>
      <c r="F2" s="15"/>
      <c r="G2" s="15"/>
      <c r="H2" s="15"/>
      <c r="I2" s="16"/>
      <c r="K2" s="64" t="s">
        <v>193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18">
      <c r="B3" s="17"/>
      <c r="C3" s="67" t="str">
        <f>CONCATENATE("Анализ дебиторской и кредиторской задолженности за ",E6,"-",G6," годы в")</f>
        <v>Анализ дебиторской и кредиторской задолженности за 2009-2010 годы в</v>
      </c>
      <c r="D3" s="67"/>
      <c r="E3" s="67"/>
      <c r="F3" s="67"/>
      <c r="G3" s="67"/>
      <c r="H3" s="67"/>
      <c r="I3" s="18"/>
      <c r="K3" s="64" t="s">
        <v>194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18">
      <c r="B4" s="17"/>
      <c r="C4" s="67" t="str">
        <f>'Т1'!C4:J4</f>
        <v>ЗАО "Стройэксперт"</v>
      </c>
      <c r="D4" s="67"/>
      <c r="E4" s="67"/>
      <c r="F4" s="67"/>
      <c r="G4" s="67"/>
      <c r="H4" s="67"/>
      <c r="I4" s="18"/>
      <c r="K4" s="64" t="s">
        <v>195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18">
      <c r="B5" s="17"/>
      <c r="C5" s="7"/>
      <c r="D5" s="7"/>
      <c r="E5" s="7"/>
      <c r="F5" s="7"/>
      <c r="G5" s="7"/>
      <c r="H5" s="7"/>
      <c r="I5" s="18"/>
      <c r="K5" s="64" t="s">
        <v>196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39" ht="14.25">
      <c r="B6" s="19"/>
      <c r="C6" s="72" t="s">
        <v>10</v>
      </c>
      <c r="D6" s="72" t="s">
        <v>8</v>
      </c>
      <c r="E6" s="69">
        <f>'Т2'!E7</f>
        <v>2009</v>
      </c>
      <c r="F6" s="71"/>
      <c r="G6" s="69">
        <f>'Т2'!F7</f>
        <v>2010</v>
      </c>
      <c r="H6" s="71"/>
      <c r="I6" s="18"/>
      <c r="K6" s="64" t="s">
        <v>197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ht="21">
      <c r="B7" s="19"/>
      <c r="C7" s="73"/>
      <c r="D7" s="73"/>
      <c r="E7" s="33" t="s">
        <v>92</v>
      </c>
      <c r="F7" s="33" t="s">
        <v>93</v>
      </c>
      <c r="G7" s="33" t="s">
        <v>92</v>
      </c>
      <c r="H7" s="33" t="s">
        <v>93</v>
      </c>
      <c r="I7" s="18"/>
      <c r="K7" s="64" t="s">
        <v>198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21" s="11" customFormat="1" ht="12.75">
      <c r="A8" s="31"/>
      <c r="B8" s="2"/>
      <c r="C8" s="23">
        <v>1</v>
      </c>
      <c r="D8" s="9" t="s">
        <v>94</v>
      </c>
      <c r="E8" s="25">
        <f>E9+E10</f>
        <v>100</v>
      </c>
      <c r="F8" s="25">
        <f>F9+F10</f>
        <v>89</v>
      </c>
      <c r="G8" s="25">
        <f>F8</f>
        <v>89</v>
      </c>
      <c r="H8" s="25">
        <f>H9+H10</f>
        <v>132</v>
      </c>
      <c r="I8" s="3"/>
      <c r="K8" s="65" t="s">
        <v>199</v>
      </c>
      <c r="P8" s="10"/>
      <c r="Q8" s="10"/>
      <c r="R8" s="10"/>
      <c r="S8" s="10"/>
      <c r="T8" s="10"/>
      <c r="U8" s="10"/>
    </row>
    <row r="9" spans="1:21" s="11" customFormat="1" ht="12.75">
      <c r="A9" s="31"/>
      <c r="B9" s="2"/>
      <c r="C9" s="28" t="s">
        <v>11</v>
      </c>
      <c r="D9" s="22" t="s">
        <v>95</v>
      </c>
      <c r="E9" s="26">
        <v>88</v>
      </c>
      <c r="F9" s="26">
        <v>74</v>
      </c>
      <c r="G9" s="25">
        <f aca="true" t="shared" si="0" ref="G9:G16">F9</f>
        <v>74</v>
      </c>
      <c r="H9" s="26">
        <v>113</v>
      </c>
      <c r="I9" s="3"/>
      <c r="K9" s="65" t="s">
        <v>200</v>
      </c>
      <c r="P9" s="10"/>
      <c r="Q9" s="10"/>
      <c r="R9" s="10"/>
      <c r="S9" s="10"/>
      <c r="T9" s="10"/>
      <c r="U9" s="10"/>
    </row>
    <row r="10" spans="1:21" s="11" customFormat="1" ht="25.5">
      <c r="A10" s="31"/>
      <c r="B10" s="2"/>
      <c r="C10" s="28" t="s">
        <v>14</v>
      </c>
      <c r="D10" s="22" t="s">
        <v>96</v>
      </c>
      <c r="E10" s="26">
        <v>12</v>
      </c>
      <c r="F10" s="26">
        <v>15</v>
      </c>
      <c r="G10" s="25">
        <f t="shared" si="0"/>
        <v>15</v>
      </c>
      <c r="H10" s="26">
        <v>19</v>
      </c>
      <c r="I10" s="3"/>
      <c r="K10" s="65" t="s">
        <v>201</v>
      </c>
      <c r="P10" s="10"/>
      <c r="Q10" s="10"/>
      <c r="R10" s="10"/>
      <c r="S10" s="10"/>
      <c r="T10" s="10"/>
      <c r="U10" s="10"/>
    </row>
    <row r="11" spans="1:21" s="11" customFormat="1" ht="12.75">
      <c r="A11" s="31"/>
      <c r="B11" s="2"/>
      <c r="C11" s="28" t="s">
        <v>1</v>
      </c>
      <c r="D11" s="9" t="s">
        <v>4</v>
      </c>
      <c r="E11" s="25">
        <f>SUM(E12:E16)</f>
        <v>140</v>
      </c>
      <c r="F11" s="25">
        <f>SUM(F12:F16)</f>
        <v>142</v>
      </c>
      <c r="G11" s="25">
        <f t="shared" si="0"/>
        <v>142</v>
      </c>
      <c r="H11" s="25">
        <f>SUM(H12:H16)</f>
        <v>169</v>
      </c>
      <c r="I11" s="3"/>
      <c r="K11" s="65" t="s">
        <v>202</v>
      </c>
      <c r="P11" s="10"/>
      <c r="Q11" s="10"/>
      <c r="R11" s="10"/>
      <c r="S11" s="10"/>
      <c r="T11" s="10"/>
      <c r="U11" s="10"/>
    </row>
    <row r="12" spans="1:21" s="11" customFormat="1" ht="25.5">
      <c r="A12" s="31"/>
      <c r="B12" s="2"/>
      <c r="C12" s="28" t="s">
        <v>16</v>
      </c>
      <c r="D12" s="22" t="s">
        <v>97</v>
      </c>
      <c r="E12" s="26">
        <v>8</v>
      </c>
      <c r="F12" s="26">
        <v>9</v>
      </c>
      <c r="G12" s="25">
        <f t="shared" si="0"/>
        <v>9</v>
      </c>
      <c r="H12" s="26">
        <v>10</v>
      </c>
      <c r="I12" s="3"/>
      <c r="K12" s="65" t="s">
        <v>203</v>
      </c>
      <c r="P12" s="10"/>
      <c r="Q12" s="10"/>
      <c r="R12" s="10"/>
      <c r="S12" s="10"/>
      <c r="T12" s="10"/>
      <c r="U12" s="10"/>
    </row>
    <row r="13" spans="1:21" s="11" customFormat="1" ht="12.75">
      <c r="A13" s="31"/>
      <c r="B13" s="2"/>
      <c r="C13" s="28" t="s">
        <v>18</v>
      </c>
      <c r="D13" s="22" t="s">
        <v>98</v>
      </c>
      <c r="E13" s="26">
        <v>45</v>
      </c>
      <c r="F13" s="26">
        <v>46</v>
      </c>
      <c r="G13" s="25">
        <f t="shared" si="0"/>
        <v>46</v>
      </c>
      <c r="H13" s="26">
        <v>48</v>
      </c>
      <c r="I13" s="3"/>
      <c r="K13" s="65" t="s">
        <v>204</v>
      </c>
      <c r="P13" s="10"/>
      <c r="Q13" s="10"/>
      <c r="R13" s="10"/>
      <c r="S13" s="10"/>
      <c r="T13" s="10"/>
      <c r="U13" s="10"/>
    </row>
    <row r="14" spans="1:21" s="11" customFormat="1" ht="12.75">
      <c r="A14" s="31"/>
      <c r="B14" s="2"/>
      <c r="C14" s="28" t="s">
        <v>19</v>
      </c>
      <c r="D14" s="22" t="s">
        <v>99</v>
      </c>
      <c r="E14" s="26">
        <v>15</v>
      </c>
      <c r="F14" s="26">
        <v>19</v>
      </c>
      <c r="G14" s="25">
        <f t="shared" si="0"/>
        <v>19</v>
      </c>
      <c r="H14" s="26">
        <v>36</v>
      </c>
      <c r="I14" s="3"/>
      <c r="K14" s="65" t="s">
        <v>205</v>
      </c>
      <c r="P14" s="10"/>
      <c r="Q14" s="10"/>
      <c r="R14" s="10"/>
      <c r="S14" s="10"/>
      <c r="T14" s="10"/>
      <c r="U14" s="10"/>
    </row>
    <row r="15" spans="1:21" s="11" customFormat="1" ht="25.5">
      <c r="A15" s="31"/>
      <c r="B15" s="2"/>
      <c r="C15" s="28" t="s">
        <v>20</v>
      </c>
      <c r="D15" s="22" t="s">
        <v>100</v>
      </c>
      <c r="E15" s="26">
        <v>5</v>
      </c>
      <c r="F15" s="26">
        <v>5</v>
      </c>
      <c r="G15" s="25">
        <f t="shared" si="0"/>
        <v>5</v>
      </c>
      <c r="H15" s="26">
        <v>6</v>
      </c>
      <c r="I15" s="3"/>
      <c r="K15" s="65" t="s">
        <v>206</v>
      </c>
      <c r="P15" s="10"/>
      <c r="Q15" s="10"/>
      <c r="R15" s="10"/>
      <c r="S15" s="10"/>
      <c r="T15" s="10"/>
      <c r="U15" s="10"/>
    </row>
    <row r="16" spans="1:21" s="11" customFormat="1" ht="25.5">
      <c r="A16" s="31"/>
      <c r="B16" s="2"/>
      <c r="C16" s="28" t="s">
        <v>39</v>
      </c>
      <c r="D16" s="22" t="s">
        <v>96</v>
      </c>
      <c r="E16" s="26">
        <v>67</v>
      </c>
      <c r="F16" s="26">
        <v>63</v>
      </c>
      <c r="G16" s="25">
        <f t="shared" si="0"/>
        <v>63</v>
      </c>
      <c r="H16" s="26">
        <v>69</v>
      </c>
      <c r="I16" s="3"/>
      <c r="K16" s="65" t="s">
        <v>207</v>
      </c>
      <c r="P16" s="10"/>
      <c r="Q16" s="10"/>
      <c r="R16" s="10"/>
      <c r="S16" s="10"/>
      <c r="T16" s="10"/>
      <c r="U16" s="10"/>
    </row>
    <row r="17" spans="2:11" ht="26.25" thickBot="1">
      <c r="B17" s="4"/>
      <c r="C17" s="20"/>
      <c r="D17" s="20"/>
      <c r="E17" s="20"/>
      <c r="F17" s="20"/>
      <c r="G17" s="20"/>
      <c r="H17" s="20"/>
      <c r="I17" s="21"/>
      <c r="K17" s="65" t="s">
        <v>208</v>
      </c>
    </row>
    <row r="18" ht="25.5">
      <c r="K18" s="64" t="s">
        <v>209</v>
      </c>
    </row>
    <row r="19" ht="25.5">
      <c r="K19" s="64" t="s">
        <v>210</v>
      </c>
    </row>
    <row r="20" ht="25.5">
      <c r="K20" s="64" t="s">
        <v>211</v>
      </c>
    </row>
    <row r="21" ht="25.5">
      <c r="K21" s="64" t="s">
        <v>212</v>
      </c>
    </row>
    <row r="22" ht="12.75">
      <c r="K22" s="64" t="s">
        <v>213</v>
      </c>
    </row>
    <row r="23" ht="10.5"/>
  </sheetData>
  <sheetProtection/>
  <mergeCells count="6">
    <mergeCell ref="C3:H3"/>
    <mergeCell ref="C4:H4"/>
    <mergeCell ref="C6:C7"/>
    <mergeCell ref="D6:D7"/>
    <mergeCell ref="E6:F6"/>
    <mergeCell ref="G6:H6"/>
  </mergeCells>
  <hyperlinks>
    <hyperlink ref="K2" location="Т1!A1" display="Т-1 Анализ движения денежных средств"/>
    <hyperlink ref="K3" location="Т2!A1" display="Т-2 Структура притока и оттока денежных средств"/>
    <hyperlink ref="K4" location="Т3!A1" display="Т-3 Анализ коэффициентов ликвидности"/>
    <hyperlink ref="K5" location="Т4!A1" display="Т-4 Анализ коэффициентов платежеспособности"/>
    <hyperlink ref="K6" location="Т5!A1" display="Т-5 Анализ чистого денежного потока"/>
    <hyperlink ref="K7" location="Т6!A1" display="Т-6 Анализ дебиторской и кредиторской задолженности"/>
    <hyperlink ref="K8" location="Т7!A1" display="Т-7 Сравнение дебиторской и кредиторской задолженности "/>
    <hyperlink ref="K9" location="Т8!A1" display="Т-8 Прогнозирование динамики денежных поступлений"/>
    <hyperlink ref="K10" location="Т9!A1" display="Т-9 Прогнозируемый бюджет денежных средств"/>
    <hyperlink ref="K11" location="Т10!A1" display="Т-10 Расчет объема требуемого краткосрочного финансирования "/>
    <hyperlink ref="K12" location="Т11!A1" display="Т-11 Показатели для расчета коэффициента эластичности поступления денежных средств"/>
    <hyperlink ref="K13" location="Т12!A1" display="Т-12 Исходная информация для прогнозирования поступления денежных средств"/>
    <hyperlink ref="K14" location="Т13!A1" display="Т-13 Расчетная таблица прогнозных значений поступления денежных средств"/>
    <hyperlink ref="K15" location="Т14!A1" display="Т-14 Расчет показателей финансовой устойчивости деятельности"/>
    <hyperlink ref="K16" location="Т15!A1" display="Т-15 Факторы, оказывающие влияние на изменение чистого денежного потока"/>
    <hyperlink ref="K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K18" location="Т17!A1" display="Т-17 Расчет влияния факторов на изменение чистого денежного потока от операционной деятельности"/>
    <hyperlink ref="K19" location="Т18!A1" display="Т-18 Факторы, оказывающие влияние на изменение чистого денежного потока по финансовой деятельности"/>
    <hyperlink ref="K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K21" location="Т20!A1" display="Т-20 Расчет влияния факторов на изменение чистого денежного потока от операционной деятельности"/>
    <hyperlink ref="K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N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125" style="1" customWidth="1"/>
    <col min="2" max="2" width="3.25390625" style="1" customWidth="1"/>
    <col min="3" max="3" width="7.25390625" style="12" bestFit="1" customWidth="1"/>
    <col min="4" max="4" width="46.75390625" style="12" customWidth="1"/>
    <col min="5" max="5" width="11.125" style="13" customWidth="1"/>
    <col min="6" max="6" width="9.625" style="13" customWidth="1"/>
    <col min="7" max="7" width="9.625" style="13" bestFit="1" customWidth="1"/>
    <col min="8" max="8" width="9.00390625" style="13" customWidth="1"/>
    <col min="9" max="9" width="10.375" style="13" customWidth="1"/>
    <col min="10" max="10" width="3.00390625" style="1" customWidth="1"/>
    <col min="11" max="11" width="2.75390625" style="1" customWidth="1"/>
    <col min="12" max="12" width="79.125" style="66" customWidth="1"/>
    <col min="13" max="13" width="2.75390625" style="1" customWidth="1"/>
    <col min="14" max="14" width="6.625" style="1" bestFit="1" customWidth="1"/>
    <col min="15" max="16" width="2.75390625" style="1" customWidth="1"/>
    <col min="17" max="21" width="3.25390625" style="1" bestFit="1" customWidth="1"/>
    <col min="22" max="22" width="4.75390625" style="1" bestFit="1" customWidth="1"/>
    <col min="23" max="16384" width="2.75390625" style="1" customWidth="1"/>
  </cols>
  <sheetData>
    <row r="1" spans="2:15" ht="11.25" thickBot="1">
      <c r="B1" s="5" t="s">
        <v>2</v>
      </c>
      <c r="C1" s="5"/>
      <c r="D1" s="5"/>
      <c r="E1" s="5"/>
      <c r="F1" s="30"/>
      <c r="G1" s="5"/>
      <c r="H1" s="30"/>
      <c r="I1" s="5"/>
      <c r="J1" s="5"/>
      <c r="K1" s="5"/>
      <c r="L1" s="63"/>
      <c r="M1" s="5"/>
      <c r="N1" s="5"/>
      <c r="O1" s="5"/>
    </row>
    <row r="2" spans="2:40" ht="18">
      <c r="B2" s="14"/>
      <c r="C2" s="15"/>
      <c r="D2" s="15"/>
      <c r="E2" s="15"/>
      <c r="F2" s="15"/>
      <c r="G2" s="15"/>
      <c r="H2" s="15"/>
      <c r="I2" s="15"/>
      <c r="J2" s="16"/>
      <c r="L2" s="64" t="s">
        <v>193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18">
      <c r="B3" s="17"/>
      <c r="C3" s="67" t="str">
        <f>CONCATENATE("Сравнение дебиторской и кредиторской задолженности за ",E6,"-",F6," гг. в ")</f>
        <v>Сравнение дебиторской и кредиторской задолженности за 2009-2010 гг. в </v>
      </c>
      <c r="D3" s="67"/>
      <c r="E3" s="67"/>
      <c r="F3" s="67"/>
      <c r="G3" s="67"/>
      <c r="H3" s="67"/>
      <c r="I3" s="67"/>
      <c r="J3" s="18"/>
      <c r="L3" s="64" t="s">
        <v>194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0" ht="18">
      <c r="B4" s="17"/>
      <c r="C4" s="67" t="str">
        <f>'Т1'!C4:J4</f>
        <v>ЗАО "Стройэксперт"</v>
      </c>
      <c r="D4" s="67"/>
      <c r="E4" s="67"/>
      <c r="F4" s="67"/>
      <c r="G4" s="67"/>
      <c r="H4" s="67"/>
      <c r="I4" s="67"/>
      <c r="J4" s="18"/>
      <c r="L4" s="64" t="s">
        <v>195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40" ht="18">
      <c r="B5" s="17"/>
      <c r="C5" s="7"/>
      <c r="D5" s="7"/>
      <c r="E5" s="7"/>
      <c r="F5" s="7"/>
      <c r="G5" s="7"/>
      <c r="H5" s="7"/>
      <c r="I5" s="7"/>
      <c r="J5" s="18"/>
      <c r="L5" s="64" t="s">
        <v>196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40" ht="14.25">
      <c r="B6" s="19"/>
      <c r="C6" s="72" t="s">
        <v>10</v>
      </c>
      <c r="D6" s="72" t="s">
        <v>8</v>
      </c>
      <c r="E6" s="68">
        <f>'Т1'!E7</f>
        <v>2009</v>
      </c>
      <c r="F6" s="68">
        <f>'Т1'!F7</f>
        <v>2010</v>
      </c>
      <c r="G6" s="68" t="s">
        <v>13</v>
      </c>
      <c r="H6" s="68" t="str">
        <f>CONCATENATE("Состояние задолженности за ",F6," г., млн. руб.")</f>
        <v>Состояние задолженности за 2010 г., млн. руб.</v>
      </c>
      <c r="I6" s="68"/>
      <c r="J6" s="18"/>
      <c r="L6" s="64" t="s">
        <v>197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2:40" ht="21">
      <c r="B7" s="19"/>
      <c r="C7" s="73"/>
      <c r="D7" s="73"/>
      <c r="E7" s="68"/>
      <c r="F7" s="68"/>
      <c r="G7" s="68"/>
      <c r="H7" s="33" t="s">
        <v>92</v>
      </c>
      <c r="I7" s="33" t="s">
        <v>93</v>
      </c>
      <c r="J7" s="18"/>
      <c r="L7" s="64" t="s">
        <v>198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22" s="11" customFormat="1" ht="12.75">
      <c r="A8" s="31"/>
      <c r="B8" s="2"/>
      <c r="C8" s="23">
        <v>1</v>
      </c>
      <c r="D8" s="9" t="s">
        <v>101</v>
      </c>
      <c r="E8" s="25">
        <f>('Т6'!E8+'Т6'!F8)/2</f>
        <v>94.5</v>
      </c>
      <c r="F8" s="25">
        <f>('Т6'!G8+'Т6'!H8)/2</f>
        <v>110.5</v>
      </c>
      <c r="G8" s="27">
        <f>F8/E8</f>
        <v>1.1693121693121693</v>
      </c>
      <c r="H8" s="25">
        <f>'Т6'!G8</f>
        <v>89</v>
      </c>
      <c r="I8" s="25">
        <f>'Т6'!H8</f>
        <v>132</v>
      </c>
      <c r="J8" s="3"/>
      <c r="L8" s="65" t="s">
        <v>199</v>
      </c>
      <c r="Q8" s="10"/>
      <c r="R8" s="10"/>
      <c r="S8" s="10"/>
      <c r="T8" s="10"/>
      <c r="U8" s="10"/>
      <c r="V8" s="10"/>
    </row>
    <row r="9" spans="1:22" s="11" customFormat="1" ht="12.75">
      <c r="A9" s="31"/>
      <c r="B9" s="2"/>
      <c r="C9" s="23">
        <v>2</v>
      </c>
      <c r="D9" s="9" t="s">
        <v>102</v>
      </c>
      <c r="E9" s="25">
        <f>('Т6'!E11+'Т6'!F11)/2</f>
        <v>141</v>
      </c>
      <c r="F9" s="25">
        <f>('Т6'!G11+'Т6'!H11)/2</f>
        <v>155.5</v>
      </c>
      <c r="G9" s="27">
        <f>F9/E9</f>
        <v>1.1028368794326242</v>
      </c>
      <c r="H9" s="25">
        <f>'Т6'!G11</f>
        <v>142</v>
      </c>
      <c r="I9" s="25">
        <f>'Т6'!H11</f>
        <v>169</v>
      </c>
      <c r="J9" s="3"/>
      <c r="L9" s="65" t="s">
        <v>200</v>
      </c>
      <c r="Q9" s="10"/>
      <c r="R9" s="10"/>
      <c r="S9" s="10"/>
      <c r="T9" s="10"/>
      <c r="U9" s="10"/>
      <c r="V9" s="10"/>
    </row>
    <row r="10" spans="1:22" s="11" customFormat="1" ht="25.5">
      <c r="A10" s="31"/>
      <c r="B10" s="2"/>
      <c r="C10" s="28" t="s">
        <v>0</v>
      </c>
      <c r="D10" s="9" t="s">
        <v>103</v>
      </c>
      <c r="E10" s="27">
        <f>E8/E9</f>
        <v>0.6702127659574468</v>
      </c>
      <c r="F10" s="27">
        <f>F8/F9</f>
        <v>0.7106109324758842</v>
      </c>
      <c r="G10" s="29" t="s">
        <v>6</v>
      </c>
      <c r="H10" s="27">
        <f>H8/H9</f>
        <v>0.6267605633802817</v>
      </c>
      <c r="I10" s="27">
        <f>I8/I9</f>
        <v>0.7810650887573964</v>
      </c>
      <c r="J10" s="3"/>
      <c r="L10" s="65" t="s">
        <v>201</v>
      </c>
      <c r="Q10" s="10"/>
      <c r="R10" s="10"/>
      <c r="S10" s="10"/>
      <c r="T10" s="10"/>
      <c r="U10" s="10"/>
      <c r="V10" s="10"/>
    </row>
    <row r="11" spans="2:12" ht="13.5" thickBot="1">
      <c r="B11" s="4"/>
      <c r="C11" s="20"/>
      <c r="D11" s="20"/>
      <c r="E11" s="20"/>
      <c r="F11" s="20"/>
      <c r="G11" s="20"/>
      <c r="H11" s="20"/>
      <c r="I11" s="20"/>
      <c r="J11" s="21"/>
      <c r="L11" s="65" t="s">
        <v>202</v>
      </c>
    </row>
    <row r="12" ht="25.5">
      <c r="L12" s="65" t="s">
        <v>203</v>
      </c>
    </row>
    <row r="13" ht="12.75">
      <c r="L13" s="65" t="s">
        <v>204</v>
      </c>
    </row>
    <row r="14" ht="12.75">
      <c r="L14" s="65" t="s">
        <v>205</v>
      </c>
    </row>
    <row r="15" ht="12.75">
      <c r="L15" s="65" t="s">
        <v>206</v>
      </c>
    </row>
    <row r="16" ht="12.75">
      <c r="L16" s="65" t="s">
        <v>207</v>
      </c>
    </row>
    <row r="17" ht="25.5">
      <c r="L17" s="65" t="s">
        <v>208</v>
      </c>
    </row>
    <row r="18" ht="25.5">
      <c r="L18" s="64" t="s">
        <v>209</v>
      </c>
    </row>
    <row r="19" ht="25.5">
      <c r="L19" s="64" t="s">
        <v>210</v>
      </c>
    </row>
    <row r="20" ht="25.5">
      <c r="L20" s="64" t="s">
        <v>211</v>
      </c>
    </row>
    <row r="21" ht="25.5">
      <c r="L21" s="64" t="s">
        <v>212</v>
      </c>
    </row>
    <row r="22" ht="12.75">
      <c r="L22" s="64" t="s">
        <v>213</v>
      </c>
    </row>
    <row r="23" ht="10.5"/>
  </sheetData>
  <sheetProtection/>
  <mergeCells count="8">
    <mergeCell ref="E6:E7"/>
    <mergeCell ref="F6:F7"/>
    <mergeCell ref="G6:G7"/>
    <mergeCell ref="C3:I3"/>
    <mergeCell ref="C4:I4"/>
    <mergeCell ref="C6:C7"/>
    <mergeCell ref="D6:D7"/>
    <mergeCell ref="H6:I6"/>
  </mergeCells>
  <hyperlinks>
    <hyperlink ref="L2" location="Т1!A1" display="Т-1 Анализ движения денежных средств"/>
    <hyperlink ref="L3" location="Т2!A1" display="Т-2 Структура притока и оттока денежных средств"/>
    <hyperlink ref="L4" location="Т3!A1" display="Т-3 Анализ коэффициентов ликвидности"/>
    <hyperlink ref="L5" location="Т4!A1" display="Т-4 Анализ коэффициентов платежеспособности"/>
    <hyperlink ref="L6" location="Т5!A1" display="Т-5 Анализ чистого денежного потока"/>
    <hyperlink ref="L7" location="Т6!A1" display="Т-6 Анализ дебиторской и кредиторской задолженности"/>
    <hyperlink ref="L8" location="Т7!A1" display="Т-7 Сравнение дебиторской и кредиторской задолженности "/>
    <hyperlink ref="L9" location="Т8!A1" display="Т-8 Прогнозирование динамики денежных поступлений"/>
    <hyperlink ref="L10" location="Т9!A1" display="Т-9 Прогнозируемый бюджет денежных средств"/>
    <hyperlink ref="L11" location="Т10!A1" display="Т-10 Расчет объема требуемого краткосрочного финансирования "/>
    <hyperlink ref="L12" location="Т11!A1" display="Т-11 Показатели для расчета коэффициента эластичности поступления денежных средств"/>
    <hyperlink ref="L13" location="Т12!A1" display="Т-12 Исходная информация для прогнозирования поступления денежных средств"/>
    <hyperlink ref="L14" location="Т13!A1" display="Т-13 Расчетная таблица прогнозных значений поступления денежных средств"/>
    <hyperlink ref="L15" location="Т14!A1" display="Т-14 Расчет показателей финансовой устойчивости деятельности"/>
    <hyperlink ref="L16" location="Т15!A1" display="Т-15 Факторы, оказывающие влияние на изменение чистого денежного потока"/>
    <hyperlink ref="L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L18" location="Т17!A1" display="Т-17 Расчет влияния факторов на изменение чистого денежного потока от операционной деятельности"/>
    <hyperlink ref="L19" location="Т18!A1" display="Т-18 Факторы, оказывающие влияние на изменение чистого денежного потока по финансовой деятельности"/>
    <hyperlink ref="L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L21" location="Т20!A1" display="Т-20 Расчет влияния факторов на изменение чистого денежного потока от операционной деятельности"/>
    <hyperlink ref="L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12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3.00390625" style="13" customWidth="1"/>
    <col min="6" max="6" width="12.25390625" style="13" customWidth="1"/>
    <col min="7" max="7" width="11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8">
      <c r="A3" s="39" t="s">
        <v>104</v>
      </c>
      <c r="B3" s="17"/>
      <c r="C3" s="67" t="str">
        <f>CONCATENATE("Прогнозирование динамики денежных поступлений за ",A3," квартал ",('Т7'!F6+1)," года в")</f>
        <v>Прогнозирование динамики денежных поступлений за II квартал 2011 года в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8">
        <v>40603</v>
      </c>
      <c r="F6" s="38">
        <f>E6+33</f>
        <v>40636</v>
      </c>
      <c r="G6" s="38">
        <f>F6+33</f>
        <v>40669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105</v>
      </c>
      <c r="E7" s="26">
        <v>75</v>
      </c>
      <c r="F7" s="26">
        <v>89</v>
      </c>
      <c r="G7" s="26">
        <v>69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109</v>
      </c>
      <c r="E8" s="26">
        <v>115</v>
      </c>
      <c r="F8" s="26">
        <v>143</v>
      </c>
      <c r="G8" s="26">
        <v>130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8" t="s">
        <v>16</v>
      </c>
      <c r="D9" s="22" t="s">
        <v>110</v>
      </c>
      <c r="E9" s="26">
        <v>2</v>
      </c>
      <c r="F9" s="26">
        <v>3</v>
      </c>
      <c r="G9" s="26">
        <v>3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28" t="s">
        <v>0</v>
      </c>
      <c r="D10" s="9" t="s">
        <v>111</v>
      </c>
      <c r="E10" s="25">
        <f>SUM(E11:E13)</f>
        <v>62</v>
      </c>
      <c r="F10" s="25">
        <f>SUM(F11:F13)</f>
        <v>70</v>
      </c>
      <c r="G10" s="25">
        <f>SUM(G11:G13)</f>
        <v>76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25.5">
      <c r="A11" s="31"/>
      <c r="B11" s="2"/>
      <c r="C11" s="28" t="s">
        <v>12</v>
      </c>
      <c r="D11" s="22" t="s">
        <v>106</v>
      </c>
      <c r="E11" s="26">
        <v>32</v>
      </c>
      <c r="F11" s="26">
        <v>35</v>
      </c>
      <c r="G11" s="26">
        <v>38</v>
      </c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28" t="s">
        <v>21</v>
      </c>
      <c r="D12" s="22" t="s">
        <v>107</v>
      </c>
      <c r="E12" s="26">
        <v>12</v>
      </c>
      <c r="F12" s="26">
        <v>13</v>
      </c>
      <c r="G12" s="26">
        <v>14</v>
      </c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12.75">
      <c r="A13" s="31"/>
      <c r="B13" s="2"/>
      <c r="C13" s="28" t="s">
        <v>22</v>
      </c>
      <c r="D13" s="22" t="s">
        <v>108</v>
      </c>
      <c r="E13" s="26">
        <v>18</v>
      </c>
      <c r="F13" s="26">
        <v>22</v>
      </c>
      <c r="G13" s="26">
        <v>24</v>
      </c>
      <c r="H13" s="3"/>
      <c r="J13" s="65" t="s">
        <v>204</v>
      </c>
      <c r="O13" s="10"/>
      <c r="P13" s="10"/>
      <c r="Q13" s="10"/>
      <c r="R13" s="10"/>
      <c r="S13" s="10"/>
      <c r="T13" s="10"/>
    </row>
    <row r="14" spans="2:10" ht="13.5" thickBot="1">
      <c r="B14" s="4"/>
      <c r="C14" s="20"/>
      <c r="D14" s="20"/>
      <c r="E14" s="20"/>
      <c r="F14" s="20"/>
      <c r="G14" s="20"/>
      <c r="H14" s="21"/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</sheetData>
  <sheetProtection/>
  <mergeCells count="2"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87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3.00390625" style="13" customWidth="1"/>
    <col min="6" max="6" width="12.25390625" style="13" customWidth="1"/>
    <col min="7" max="7" width="11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8">
      <c r="A3" s="39"/>
      <c r="B3" s="17"/>
      <c r="C3" s="67" t="str">
        <f>CONCATENATE("Прогнозируемый бюджет денежных средств за ",'Т8'!A3," квартал ",('Т7'!F6+1)," года в")</f>
        <v>Прогнозируемый бюджет денежных средств за II квартал 2011 года в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8">
        <f>'Т8'!E6</f>
        <v>40603</v>
      </c>
      <c r="F6" s="38">
        <f>'Т8'!F6</f>
        <v>40636</v>
      </c>
      <c r="G6" s="38">
        <f>'Т8'!G6</f>
        <v>40669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112</v>
      </c>
      <c r="E7" s="26"/>
      <c r="F7" s="26"/>
      <c r="G7" s="26"/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8" t="s">
        <v>11</v>
      </c>
      <c r="D8" s="22" t="s">
        <v>113</v>
      </c>
      <c r="E8" s="25">
        <f>'Т8'!E10</f>
        <v>62</v>
      </c>
      <c r="F8" s="25">
        <f>'Т8'!F10</f>
        <v>70</v>
      </c>
      <c r="G8" s="25">
        <f>'Т8'!G10</f>
        <v>76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8" t="s">
        <v>14</v>
      </c>
      <c r="D9" s="22" t="s">
        <v>54</v>
      </c>
      <c r="E9" s="26">
        <v>1.3</v>
      </c>
      <c r="F9" s="26">
        <v>1.2</v>
      </c>
      <c r="G9" s="26">
        <v>1.4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28" t="s">
        <v>1</v>
      </c>
      <c r="D10" s="9" t="s">
        <v>114</v>
      </c>
      <c r="E10" s="25">
        <f>SUM(E8:E9)</f>
        <v>63.3</v>
      </c>
      <c r="F10" s="25">
        <f>SUM(F8:F9)</f>
        <v>71.2</v>
      </c>
      <c r="G10" s="25">
        <f>SUM(G8:G9)</f>
        <v>77.4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2.75">
      <c r="A11" s="31"/>
      <c r="B11" s="2"/>
      <c r="C11" s="28" t="s">
        <v>0</v>
      </c>
      <c r="D11" s="9" t="s">
        <v>115</v>
      </c>
      <c r="E11" s="26"/>
      <c r="F11" s="26"/>
      <c r="G11" s="26"/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28" t="s">
        <v>12</v>
      </c>
      <c r="D12" s="22" t="s">
        <v>116</v>
      </c>
      <c r="E12" s="26">
        <v>18</v>
      </c>
      <c r="F12" s="26">
        <v>28</v>
      </c>
      <c r="G12" s="26">
        <v>25</v>
      </c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25.5">
      <c r="A13" s="31"/>
      <c r="B13" s="2"/>
      <c r="C13" s="28" t="s">
        <v>21</v>
      </c>
      <c r="D13" s="22" t="s">
        <v>117</v>
      </c>
      <c r="E13" s="26">
        <v>37</v>
      </c>
      <c r="F13" s="26">
        <v>40</v>
      </c>
      <c r="G13" s="26">
        <v>43</v>
      </c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12.75">
      <c r="A14" s="31"/>
      <c r="B14" s="2"/>
      <c r="C14" s="28" t="s">
        <v>24</v>
      </c>
      <c r="D14" s="22" t="s">
        <v>118</v>
      </c>
      <c r="E14" s="25">
        <f>SUM(E12:E13)</f>
        <v>55</v>
      </c>
      <c r="F14" s="25">
        <f>SUM(F12:F13)</f>
        <v>68</v>
      </c>
      <c r="G14" s="25">
        <f>SUM(G12:G13)</f>
        <v>68</v>
      </c>
      <c r="H14" s="3"/>
      <c r="J14" s="65" t="s">
        <v>205</v>
      </c>
      <c r="O14" s="10"/>
      <c r="P14" s="10"/>
      <c r="Q14" s="10"/>
      <c r="R14" s="10"/>
      <c r="S14" s="10"/>
      <c r="T14" s="10"/>
    </row>
    <row r="15" spans="1:20" s="11" customFormat="1" ht="12.75">
      <c r="A15" s="31"/>
      <c r="B15" s="2"/>
      <c r="C15" s="28" t="s">
        <v>25</v>
      </c>
      <c r="D15" s="9" t="s">
        <v>119</v>
      </c>
      <c r="E15" s="25">
        <f>E10-E14</f>
        <v>8.299999999999997</v>
      </c>
      <c r="F15" s="25">
        <f>F10-F14</f>
        <v>3.200000000000003</v>
      </c>
      <c r="G15" s="25">
        <f>G10-G14</f>
        <v>9.400000000000006</v>
      </c>
      <c r="H15" s="3"/>
      <c r="J15" s="65" t="s">
        <v>206</v>
      </c>
      <c r="O15" s="10"/>
      <c r="P15" s="10"/>
      <c r="Q15" s="10"/>
      <c r="R15" s="10"/>
      <c r="S15" s="10"/>
      <c r="T15" s="10"/>
    </row>
    <row r="16" spans="2:10" ht="13.5" thickBot="1">
      <c r="B16" s="4"/>
      <c r="C16" s="20"/>
      <c r="D16" s="20"/>
      <c r="E16" s="20"/>
      <c r="F16" s="20"/>
      <c r="G16" s="20"/>
      <c r="H16" s="21"/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  <row r="24" ht="10.5"/>
    <row r="25" ht="10.5"/>
    <row r="26" ht="10.5"/>
    <row r="27" ht="10.5"/>
  </sheetData>
  <sheetProtection/>
  <mergeCells count="2"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2011-02-18T09:26:45Z</cp:lastPrinted>
  <dcterms:created xsi:type="dcterms:W3CDTF">2004-01-26T15:28:24Z</dcterms:created>
  <dcterms:modified xsi:type="dcterms:W3CDTF">2021-03-17T10:23:01Z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