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918" activeTab="0"/>
  </bookViews>
  <sheets>
    <sheet name="Калькуляция машино-часа" sheetId="1" r:id="rId1"/>
    <sheet name="Себестоимость 1 машино-часа" sheetId="2" r:id="rId2"/>
    <sheet name="ЗП водителей" sheetId="3" r:id="rId3"/>
    <sheet name="амортизация" sheetId="4" r:id="rId4"/>
    <sheet name="расчет % ОПР" sheetId="5" r:id="rId5"/>
    <sheet name="расчет % ОХР" sheetId="6" r:id="rId6"/>
    <sheet name="Калькуляция 1 км" sheetId="7" r:id="rId7"/>
    <sheet name="Калькуляция 1 км (без топлива)" sheetId="8" r:id="rId8"/>
    <sheet name="Себестоимость 1 км" sheetId="9" r:id="rId9"/>
    <sheet name="техобслуживание" sheetId="10" r:id="rId10"/>
    <sheet name="топливо" sheetId="11" r:id="rId11"/>
    <sheet name="Затраты на восстановление шин" sheetId="12" r:id="rId12"/>
    <sheet name="Нормы затрат на ремонт и ТО" sheetId="13" r:id="rId13"/>
    <sheet name="группы автотранспорта" sheetId="14" r:id="rId14"/>
  </sheets>
  <definedNames>
    <definedName name="OLE_LINK1" localSheetId="12">'Нормы затрат на ремонт и ТО'!$C$12</definedName>
    <definedName name="_xlnm.Print_Area" localSheetId="3">'амортизация'!$B$2:$L$32</definedName>
    <definedName name="_xlnm.Print_Area" localSheetId="13">'группы автотранспорта'!$B$2:$E$36</definedName>
    <definedName name="_xlnm.Print_Area" localSheetId="11">'Затраты на восстановление шин'!$B$2:$O$31</definedName>
    <definedName name="_xlnm.Print_Area" localSheetId="2">'ЗП водителей'!$B$2:$AA$36</definedName>
    <definedName name="_xlnm.Print_Area" localSheetId="0">'Калькуляция машино-часа'!$B$2:$J$38</definedName>
    <definedName name="_xlnm.Print_Area" localSheetId="12">'Нормы затрат на ремонт и ТО'!$B$2:$K$563</definedName>
    <definedName name="_xlnm.Print_Area" localSheetId="4">'расчет % ОПР'!$B$2:$H$30</definedName>
    <definedName name="_xlnm.Print_Area" localSheetId="5">'расчет % ОХР'!$B$2:$H$34</definedName>
    <definedName name="_xlnm.Print_Area" localSheetId="8">'Себестоимость 1 км'!$B$2:$Q$32</definedName>
    <definedName name="_xlnm.Print_Area" localSheetId="1">'Себестоимость 1 машино-часа'!$B$2:$P$33</definedName>
    <definedName name="_xlnm.Print_Area" localSheetId="10">'топливо'!$B$2:$S$33</definedName>
  </definedNames>
  <calcPr fullCalcOnLoad="1"/>
</workbook>
</file>

<file path=xl/comments1.xml><?xml version="1.0" encoding="utf-8"?>
<comments xmlns="http://schemas.openxmlformats.org/spreadsheetml/2006/main">
  <authors>
    <author>u-jeenn</author>
  </authors>
  <commentList>
    <comment ref="C10" authorId="0">
      <text>
        <r>
          <rPr>
            <sz val="8"/>
            <rFont val="Tahoma"/>
            <family val="2"/>
          </rPr>
          <t xml:space="preserve">выберите группу из листа "Группы автотранспорта"
</t>
        </r>
      </text>
    </comment>
  </commentList>
</comments>
</file>

<file path=xl/comments10.xml><?xml version="1.0" encoding="utf-8"?>
<comments xmlns="http://schemas.openxmlformats.org/spreadsheetml/2006/main">
  <authors>
    <author>u-jeenn</author>
  </authors>
  <commentList>
    <comment ref="D36" authorId="0">
      <text>
        <r>
          <rPr>
            <sz val="8"/>
            <rFont val="Tahoma"/>
            <family val="2"/>
          </rPr>
          <t xml:space="preserve">Устанавливаются согласно приложению 2 к приказу Минтранса РБ от 02.08.2010 г. № 403-Ц
</t>
        </r>
      </text>
    </comment>
    <comment ref="I43" authorId="0">
      <text>
        <r>
          <rPr>
            <sz val="8"/>
            <rFont val="Tahoma"/>
            <family val="2"/>
          </rPr>
          <t>Вставить индекс цен на дату составления калькуляции</t>
        </r>
      </text>
    </comment>
  </commentList>
</comments>
</file>

<file path=xl/comments13.xml><?xml version="1.0" encoding="utf-8"?>
<comments xmlns="http://schemas.openxmlformats.org/spreadsheetml/2006/main">
  <authors>
    <author>u-jeenn</author>
  </authors>
  <commentList>
    <comment ref="K2" authorId="0">
      <text>
        <r>
          <rPr>
            <b/>
            <sz val="8"/>
            <rFont val="Tahoma"/>
            <family val="2"/>
          </rPr>
          <t>Таблица 14 приложения 2 к приказу Минтранса РБ от 02.08.2010 г. № 403-Ц</t>
        </r>
      </text>
    </comment>
  </commentList>
</comments>
</file>

<file path=xl/comments14.xml><?xml version="1.0" encoding="utf-8"?>
<comments xmlns="http://schemas.openxmlformats.org/spreadsheetml/2006/main">
  <authors>
    <author>u-jeenn</author>
  </authors>
  <commentList>
    <comment ref="E2" authorId="0">
      <text>
        <r>
          <rPr>
            <sz val="8"/>
            <rFont val="Tahoma"/>
            <family val="2"/>
          </rPr>
          <t xml:space="preserve">Группировка автотранспорта может быть выбрана организацией  самостоятельно.
</t>
        </r>
      </text>
    </comment>
  </commentList>
</comments>
</file>

<file path=xl/comments3.xml><?xml version="1.0" encoding="utf-8"?>
<comments xmlns="http://schemas.openxmlformats.org/spreadsheetml/2006/main">
  <authors>
    <author>Краснянский Евгений</author>
  </authors>
  <commentList>
    <comment ref="G8" authorId="0">
      <text>
        <r>
          <rPr>
            <sz val="8"/>
            <rFont val="Tahoma"/>
            <family val="2"/>
          </rPr>
          <t>Норма времени утверждается ежегодно. На 2011 год утверждена Пост. МинТруда и СЗ №135 от 01.10.2010 и равна для пятидневной рабочей недели с выходными днями в субботу и воскресенье – 2037 часов</t>
        </r>
      </text>
    </comment>
  </commentList>
</comments>
</file>

<file path=xl/sharedStrings.xml><?xml version="1.0" encoding="utf-8"?>
<sst xmlns="http://schemas.openxmlformats.org/spreadsheetml/2006/main" count="1867" uniqueCount="472">
  <si>
    <t>Синий цвет цифр обозначает, что заполнение данных ячеек происходит автоматически.</t>
  </si>
  <si>
    <t>№ п/п</t>
  </si>
  <si>
    <t>Сумма, рублей</t>
  </si>
  <si>
    <t>Премия</t>
  </si>
  <si>
    <t>Итого</t>
  </si>
  <si>
    <t>Главный бухгалтер</t>
  </si>
  <si>
    <t xml:space="preserve">Экономист </t>
  </si>
  <si>
    <t>Утверждаю</t>
  </si>
  <si>
    <t>директор РДУП "Автомобильный парк № 555</t>
  </si>
  <si>
    <t>"_____" ______________ 20___ г.</t>
  </si>
  <si>
    <t>подпись</t>
  </si>
  <si>
    <t>Петрова А.А.</t>
  </si>
  <si>
    <t>Сидорова А.А.</t>
  </si>
  <si>
    <t>Калькуляция</t>
  </si>
  <si>
    <t>стоимости 1 часа использования по группе:</t>
  </si>
  <si>
    <t>Наименование статей</t>
  </si>
  <si>
    <t>Установленный %</t>
  </si>
  <si>
    <t>Иванов С.Т.</t>
  </si>
  <si>
    <t>Заработная плата водителей</t>
  </si>
  <si>
    <t>Дополнительная заработная плата</t>
  </si>
  <si>
    <t>Отчисления ФСЗН</t>
  </si>
  <si>
    <t>Обязательное страхование</t>
  </si>
  <si>
    <t>Амортизация</t>
  </si>
  <si>
    <t>Цеховые расходы</t>
  </si>
  <si>
    <t>Общехозяйственные расходы</t>
  </si>
  <si>
    <t>Производственная себестоимость</t>
  </si>
  <si>
    <t>Инновационный фонд</t>
  </si>
  <si>
    <t>Полная себестоимость</t>
  </si>
  <si>
    <t>Прибыль</t>
  </si>
  <si>
    <t>Цена без НДС</t>
  </si>
  <si>
    <t>Налог на добавленную стоимость</t>
  </si>
  <si>
    <t>Цена с НДС</t>
  </si>
  <si>
    <t>Расчет</t>
  </si>
  <si>
    <t>себестоимости 1 часа использования по группе:</t>
  </si>
  <si>
    <t>Марка автотранспорта</t>
  </si>
  <si>
    <t>Марка двигателя</t>
  </si>
  <si>
    <t>ГОС №</t>
  </si>
  <si>
    <t>Заработная плата водителей, руб.</t>
  </si>
  <si>
    <t xml:space="preserve">Служба, подразделение </t>
  </si>
  <si>
    <t>Амортиза- ция, руб.</t>
  </si>
  <si>
    <t>Производст- венная себестоимость, руб.</t>
  </si>
  <si>
    <t>Трансп. цех</t>
  </si>
  <si>
    <t>-</t>
  </si>
  <si>
    <t>Средняя по группе</t>
  </si>
  <si>
    <t>Наименование профессии</t>
  </si>
  <si>
    <t>Тарифный оклад, руб.</t>
  </si>
  <si>
    <t>Повышение при заключении контракта</t>
  </si>
  <si>
    <t>Годовой ФОТ по ставкам, руб.</t>
  </si>
  <si>
    <t>Вознаграждение за выслугу лет</t>
  </si>
  <si>
    <t>Надбавка за профмастерство (классность)</t>
  </si>
  <si>
    <t>Итого ФОТ, руб.</t>
  </si>
  <si>
    <t>Себестоимость 1 чел.-ч, руб.</t>
  </si>
  <si>
    <t>руб.</t>
  </si>
  <si>
    <t>%</t>
  </si>
  <si>
    <t>ФОТ, руб.</t>
  </si>
  <si>
    <t>водитель</t>
  </si>
  <si>
    <t>Марка автотранс- порта</t>
  </si>
  <si>
    <t>Кол-во штатных единиц</t>
  </si>
  <si>
    <t>Тарифный коэф-т</t>
  </si>
  <si>
    <t>Техно- логи- ческий коэф-т</t>
  </si>
  <si>
    <t>затрат на заработную плату водителей по группе:</t>
  </si>
  <si>
    <t>Тарифная ставка 1-го разряда</t>
  </si>
  <si>
    <t xml:space="preserve">Часовая тарифная справка 1-го разряда </t>
  </si>
  <si>
    <t>часов</t>
  </si>
  <si>
    <t>рублей</t>
  </si>
  <si>
    <t>коэф-т</t>
  </si>
  <si>
    <t>Повышение по постановлению Совета Министров РБ от 09.11.1999 № 1748</t>
  </si>
  <si>
    <t>Тарифная ставка, руб.</t>
  </si>
  <si>
    <t>Доплата за вредность</t>
  </si>
  <si>
    <t>годовой фонд рабочего времени, ч</t>
  </si>
  <si>
    <t>амортизационных отчислений по группе:</t>
  </si>
  <si>
    <t>Амортизационные отчисления на 1 маш.-ч, руб.</t>
  </si>
  <si>
    <t>Месячная норма амортизации, %</t>
  </si>
  <si>
    <t>Амортизи- руемая стоимость, руб.</t>
  </si>
  <si>
    <t>Месячная сумма аморти- зационных отчислений, руб.</t>
  </si>
  <si>
    <t>процента общепроизводственных расходов</t>
  </si>
  <si>
    <t>Статьи затрат</t>
  </si>
  <si>
    <t>Темп роста, %</t>
  </si>
  <si>
    <t>Факт за предыдущий период</t>
  </si>
  <si>
    <t xml:space="preserve">Оплата труда цехового персонала  </t>
  </si>
  <si>
    <t>Обязательные отчисления в ФСЗН</t>
  </si>
  <si>
    <t>Страхование от несчастных случаев</t>
  </si>
  <si>
    <t>Ремонт  зданий, оборудования</t>
  </si>
  <si>
    <t>Амортизация зданий, сооружений</t>
  </si>
  <si>
    <t xml:space="preserve">Содержание зданий </t>
  </si>
  <si>
    <t>Вода и канализация</t>
  </si>
  <si>
    <t xml:space="preserve">Электроэнергия и теплоэнергия на отопление и освещение </t>
  </si>
  <si>
    <t>Налог на землю</t>
  </si>
  <si>
    <t>Расходы на подготовку и переподготовку кадров</t>
  </si>
  <si>
    <t>Командировочные расходы цехового персонала</t>
  </si>
  <si>
    <t>Расходы на охрану труда</t>
  </si>
  <si>
    <t>Спецоснастка и спецодежда в эксплуатации</t>
  </si>
  <si>
    <t>Инвентарь и хозпринадлежности в экплуатации</t>
  </si>
  <si>
    <t>Страхование пенсий</t>
  </si>
  <si>
    <t>Услуги банка</t>
  </si>
  <si>
    <t>Услуги автотранспортных организаций</t>
  </si>
  <si>
    <t>Обязательное страхование  гражданской ответственности</t>
  </si>
  <si>
    <t>Прочие расходы</t>
  </si>
  <si>
    <t>Заработная плата основного персонала</t>
  </si>
  <si>
    <t>Расчет процента общепроизводственных расходов</t>
  </si>
  <si>
    <t>тыс. руб</t>
  </si>
  <si>
    <t>Заработная плата аппарата управления</t>
  </si>
  <si>
    <t>Текущий ремонт зданий</t>
  </si>
  <si>
    <t>Амортизация зданий, сооружений, прочих основных средств</t>
  </si>
  <si>
    <t>Содержание зданий (дератизация, вывоз мусора, моющие средства т.п.)</t>
  </si>
  <si>
    <t>Электроэнергия и теплоэнергия на отопление и освещение</t>
  </si>
  <si>
    <t>Услуги связи</t>
  </si>
  <si>
    <t>Канцелярские и почтово-телеграфные расходы</t>
  </si>
  <si>
    <t>Командировочные расходы</t>
  </si>
  <si>
    <t>Спецпитание</t>
  </si>
  <si>
    <t>Расходы на охрану труда и технику безопасности</t>
  </si>
  <si>
    <t>Услуги сторожевой и пожарной охраны</t>
  </si>
  <si>
    <t>Информационные услуги</t>
  </si>
  <si>
    <t>Консультационные услуги</t>
  </si>
  <si>
    <t>Содержание служебного легкового автотранспорта</t>
  </si>
  <si>
    <t>Расчет процента общехозяйственных расходов</t>
  </si>
  <si>
    <t>План на расчетный период</t>
  </si>
  <si>
    <t>процента общехозяйственных расходов</t>
  </si>
  <si>
    <t>косяк несовпадение в опр и охр</t>
  </si>
  <si>
    <t>стоимости 1 км пробега (с топливом) по группе:</t>
  </si>
  <si>
    <t>Заработная плата ремонтных рабочих</t>
  </si>
  <si>
    <t>Материальные затраты</t>
  </si>
  <si>
    <t>Смазочные материалы</t>
  </si>
  <si>
    <t>Затраты на восстановление шин</t>
  </si>
  <si>
    <t>Топливо</t>
  </si>
  <si>
    <t>стоимости 1 км пробега (без топлива) по группе:</t>
  </si>
  <si>
    <t>Смазочные материалы, руб.</t>
  </si>
  <si>
    <t>Топливо, руб.</t>
  </si>
  <si>
    <t>Заработная плата ремонтных рабочих, руб.</t>
  </si>
  <si>
    <t>Материаль- ные затраты, руб.</t>
  </si>
  <si>
    <t>Затраты на восстанов- ление шин, руб.</t>
  </si>
  <si>
    <t>Производствен- ная себестои- мость, руб.</t>
  </si>
  <si>
    <t>затрат на техническое обслуживание на 1 км пробега автотранспорта по группе:</t>
  </si>
  <si>
    <t>Пробег с начала эксплуата ции, км</t>
  </si>
  <si>
    <t>Затраты на техническое обслуживание</t>
  </si>
  <si>
    <t>Ставка I разр., руб.</t>
  </si>
  <si>
    <t>ЗТ, руб.</t>
  </si>
  <si>
    <t>Сумма затрат, руб</t>
  </si>
  <si>
    <t>ЗП</t>
  </si>
  <si>
    <t>МЗ</t>
  </si>
  <si>
    <t>СМ</t>
  </si>
  <si>
    <t>Корректирующий коэф-т</t>
  </si>
  <si>
    <t>Индекс цен</t>
  </si>
  <si>
    <t>Корректирующий коэффициент к нормам в зависимости от типа подвижного состава:</t>
  </si>
  <si>
    <t xml:space="preserve"> - для автобусов, легковых и грузовых бортовых автомобилей </t>
  </si>
  <si>
    <t xml:space="preserve"> - грузовых автомобилей тягачей </t>
  </si>
  <si>
    <t xml:space="preserve"> - грузовых автомобилей самосвалов </t>
  </si>
  <si>
    <t xml:space="preserve"> - грузовых автомобилей цистерн </t>
  </si>
  <si>
    <t xml:space="preserve"> - грузовых автомобилей фургонов </t>
  </si>
  <si>
    <t xml:space="preserve"> - грузовых автомобилей рефрижераторов </t>
  </si>
  <si>
    <t xml:space="preserve">Индекс цен производителей промышленной продукции производственно-технического назначения, рассчитанный нарастающим итогом к декабрю 2008 </t>
  </si>
  <si>
    <t>внести коэф-т</t>
  </si>
  <si>
    <t>Нормы затрат на 1000 км пробега по статьям</t>
  </si>
  <si>
    <t xml:space="preserve">Расход топлива на 1 км </t>
  </si>
  <si>
    <t>Цена топлива, руб</t>
  </si>
  <si>
    <t xml:space="preserve"> Норма расхода топлива автотранспорта</t>
  </si>
  <si>
    <t xml:space="preserve">Н-80 </t>
  </si>
  <si>
    <t xml:space="preserve">Д/т </t>
  </si>
  <si>
    <t xml:space="preserve">газ </t>
  </si>
  <si>
    <t xml:space="preserve">А-92 </t>
  </si>
  <si>
    <t xml:space="preserve">А-95 </t>
  </si>
  <si>
    <t>Н-80, л/100 км</t>
  </si>
  <si>
    <t>Д/т, л/100 км.</t>
  </si>
  <si>
    <t>газ, л/100 км.</t>
  </si>
  <si>
    <t>А-92, л/100 км</t>
  </si>
  <si>
    <t>А-95, л/100 км</t>
  </si>
  <si>
    <t>Стоимость ГСМ, руб. / км</t>
  </si>
  <si>
    <t>Размер шины</t>
  </si>
  <si>
    <t>Марка шины</t>
  </si>
  <si>
    <t>Норма пробега шины до списания</t>
  </si>
  <si>
    <t>Цена ед. руб</t>
  </si>
  <si>
    <t>Затраты на 1 км пробега, руб.</t>
  </si>
  <si>
    <t>Количество, шт.</t>
  </si>
  <si>
    <t>Цена комплекта, руб.</t>
  </si>
  <si>
    <t>235/75 R17,5</t>
  </si>
  <si>
    <t>Матадор</t>
  </si>
  <si>
    <t>БелШина</t>
  </si>
  <si>
    <t>затрат на восстановление шин на 1 км пробега автотранспорта по группе:</t>
  </si>
  <si>
    <t>затрат на топливо на 1 км пробега автотранспорта по группе:</t>
  </si>
  <si>
    <t xml:space="preserve">Легковые автомобили   </t>
  </si>
  <si>
    <t xml:space="preserve">"Москвич"   </t>
  </si>
  <si>
    <t xml:space="preserve">ЗП  </t>
  </si>
  <si>
    <t xml:space="preserve">-  </t>
  </si>
  <si>
    <t xml:space="preserve">МЗ  </t>
  </si>
  <si>
    <t xml:space="preserve">СМ  </t>
  </si>
  <si>
    <t xml:space="preserve">ВАЗ 2106 (бензин) </t>
  </si>
  <si>
    <t xml:space="preserve">ВАЗ 2107 (газ)  </t>
  </si>
  <si>
    <t xml:space="preserve">ВАЗ-2131  </t>
  </si>
  <si>
    <t xml:space="preserve">(бензин)  </t>
  </si>
  <si>
    <t xml:space="preserve">ГАЗ-3110 (газ)  </t>
  </si>
  <si>
    <t xml:space="preserve">Дэу Ланос (бензин)  </t>
  </si>
  <si>
    <t xml:space="preserve">УАЗ-31512   </t>
  </si>
  <si>
    <t xml:space="preserve">Audi A4 (бензин)  </t>
  </si>
  <si>
    <t xml:space="preserve">BMW (бензин)  </t>
  </si>
  <si>
    <t xml:space="preserve">Daewoo Matiz  </t>
  </si>
  <si>
    <t xml:space="preserve">Ford (дизель)  </t>
  </si>
  <si>
    <t xml:space="preserve">Ford (бензин)  </t>
  </si>
  <si>
    <t xml:space="preserve">Mazda (бензин)  </t>
  </si>
  <si>
    <t xml:space="preserve">(дизель)  </t>
  </si>
  <si>
    <t xml:space="preserve">Opel (бензин)  </t>
  </si>
  <si>
    <t xml:space="preserve">Toyota (бензин)  </t>
  </si>
  <si>
    <t xml:space="preserve">Toyota (дизель)  </t>
  </si>
  <si>
    <t xml:space="preserve">Фольксваген SHARAN  </t>
  </si>
  <si>
    <t xml:space="preserve">Volvo (бензин)  </t>
  </si>
  <si>
    <t xml:space="preserve">специальный  </t>
  </si>
  <si>
    <t>МЗ &lt;*&gt;</t>
  </si>
  <si>
    <t xml:space="preserve">Caravelle (дизель)  </t>
  </si>
  <si>
    <t xml:space="preserve">Грузовые автомобили   </t>
  </si>
  <si>
    <t xml:space="preserve">"Иж" (пикап)  </t>
  </si>
  <si>
    <t xml:space="preserve">УАЗ-3303, -3741  </t>
  </si>
  <si>
    <t xml:space="preserve">ЕрАЗ-762В   </t>
  </si>
  <si>
    <t xml:space="preserve">УАЗ-3741 (газ)  </t>
  </si>
  <si>
    <t xml:space="preserve">"Авиа"   </t>
  </si>
  <si>
    <t xml:space="preserve">"Газель" (бензин) </t>
  </si>
  <si>
    <t xml:space="preserve">"Газель" (дизель) </t>
  </si>
  <si>
    <t xml:space="preserve">"Газель" (газ)  </t>
  </si>
  <si>
    <t xml:space="preserve">ГАЗ-2705 (дизель) </t>
  </si>
  <si>
    <t xml:space="preserve">ГАЗ-3302 (дизель) </t>
  </si>
  <si>
    <t xml:space="preserve">ГАЗ-3302 (газ)  </t>
  </si>
  <si>
    <t xml:space="preserve">ГАЗ-52 (бензин)  </t>
  </si>
  <si>
    <t xml:space="preserve">ГАЗ-52 (дизель)  </t>
  </si>
  <si>
    <t xml:space="preserve">ГАЗ-52 (газ)  </t>
  </si>
  <si>
    <t xml:space="preserve">ГАЗ-53 (бензин)  </t>
  </si>
  <si>
    <t xml:space="preserve">ГАЗ-53 (газ)  </t>
  </si>
  <si>
    <t xml:space="preserve">ГАЗ-66 (бензин)  </t>
  </si>
  <si>
    <t xml:space="preserve">35071 самосвал  </t>
  </si>
  <si>
    <t xml:space="preserve">фургон (бензин)  </t>
  </si>
  <si>
    <t xml:space="preserve">бортовой  </t>
  </si>
  <si>
    <t xml:space="preserve">ЗИЛ-5301  </t>
  </si>
  <si>
    <t xml:space="preserve">ЗИЛ двухосный (газ) </t>
  </si>
  <si>
    <t xml:space="preserve">ЗИЛ трехосный (газ) </t>
  </si>
  <si>
    <t xml:space="preserve">специальные  </t>
  </si>
  <si>
    <t xml:space="preserve">Люблин-3 (дизель) </t>
  </si>
  <si>
    <t xml:space="preserve">217,0, </t>
  </si>
  <si>
    <t>грузоподъемностью</t>
  </si>
  <si>
    <t xml:space="preserve">до 10 т бортовой  </t>
  </si>
  <si>
    <t xml:space="preserve">седельный тягач  </t>
  </si>
  <si>
    <t xml:space="preserve">самосвал  </t>
  </si>
  <si>
    <t xml:space="preserve">МАЗ-533702),  </t>
  </si>
  <si>
    <t xml:space="preserve">топливозаправщик  </t>
  </si>
  <si>
    <t xml:space="preserve">тягач (дизель)  </t>
  </si>
  <si>
    <t xml:space="preserve">КамАЗ (газодизель)  </t>
  </si>
  <si>
    <t xml:space="preserve">СМ(д) </t>
  </si>
  <si>
    <t xml:space="preserve">СМ(г) </t>
  </si>
  <si>
    <t xml:space="preserve">КрАЗ   </t>
  </si>
  <si>
    <t xml:space="preserve">Урал (бензин)  </t>
  </si>
  <si>
    <t xml:space="preserve">Урал (дизель)  </t>
  </si>
  <si>
    <t xml:space="preserve">БелАЗ-75405  </t>
  </si>
  <si>
    <t xml:space="preserve">карьерный самосвал  </t>
  </si>
  <si>
    <t xml:space="preserve">тягач   </t>
  </si>
  <si>
    <t xml:space="preserve">DAF LF, фургон  </t>
  </si>
  <si>
    <t xml:space="preserve">двухосный,  </t>
  </si>
  <si>
    <t xml:space="preserve">Ивеко-Дейли 65C15 </t>
  </si>
  <si>
    <t xml:space="preserve">грузопассажирский </t>
  </si>
  <si>
    <t xml:space="preserve">Автобусы </t>
  </si>
  <si>
    <t xml:space="preserve">РАФ  </t>
  </si>
  <si>
    <t xml:space="preserve">УАЗ  </t>
  </si>
  <si>
    <t xml:space="preserve">ЗиЛ-3250 (дизель) </t>
  </si>
  <si>
    <t xml:space="preserve">КАВЗ (бензин)  </t>
  </si>
  <si>
    <t xml:space="preserve">КАВЗ (дизель)  </t>
  </si>
  <si>
    <t xml:space="preserve">ПАЗ (бензин)  </t>
  </si>
  <si>
    <t xml:space="preserve">ПАЗ (дизель)  </t>
  </si>
  <si>
    <t xml:space="preserve">ПАЗ-3205 (газ)  </t>
  </si>
  <si>
    <t xml:space="preserve">ЛАЗ-695 (бензин)  </t>
  </si>
  <si>
    <t xml:space="preserve">ЛАЗ-695 (дизель)  </t>
  </si>
  <si>
    <t xml:space="preserve">ЛАЗ-695 (газ)  </t>
  </si>
  <si>
    <t xml:space="preserve">ЛАЗ-4202  </t>
  </si>
  <si>
    <t xml:space="preserve">ЛиАЗ-677 (бензин) </t>
  </si>
  <si>
    <t xml:space="preserve">ЛиАЗ-677 (дизель) </t>
  </si>
  <si>
    <t xml:space="preserve">ЛиАЗ-5256   </t>
  </si>
  <si>
    <t xml:space="preserve">Люблин (дизель)  </t>
  </si>
  <si>
    <t xml:space="preserve">Ikarus-260, -263  </t>
  </si>
  <si>
    <t xml:space="preserve">Ikarus-280  </t>
  </si>
  <si>
    <t xml:space="preserve">МАЗ 101   </t>
  </si>
  <si>
    <t xml:space="preserve">МАЗ 103   </t>
  </si>
  <si>
    <t xml:space="preserve">МАЗ 104   </t>
  </si>
  <si>
    <t xml:space="preserve">МАЗ 105   </t>
  </si>
  <si>
    <t xml:space="preserve">МАЗ 107   </t>
  </si>
  <si>
    <t xml:space="preserve">МАЗ 152   </t>
  </si>
  <si>
    <t xml:space="preserve">МАЗ-203065, -203067 </t>
  </si>
  <si>
    <t xml:space="preserve">МАЗ-206060, -206067 </t>
  </si>
  <si>
    <t xml:space="preserve">МАЗ-251   </t>
  </si>
  <si>
    <t xml:space="preserve">МАЗ 256   </t>
  </si>
  <si>
    <t xml:space="preserve">Неман 52012  </t>
  </si>
  <si>
    <t xml:space="preserve">Vanhool   </t>
  </si>
  <si>
    <t xml:space="preserve">Iveco   </t>
  </si>
  <si>
    <t xml:space="preserve">MAN  </t>
  </si>
  <si>
    <t xml:space="preserve">Neoplan   </t>
  </si>
  <si>
    <t xml:space="preserve">Setra S215HD  </t>
  </si>
  <si>
    <t xml:space="preserve">Volkswagen LT-46  </t>
  </si>
  <si>
    <t xml:space="preserve">Вольво-B10М  </t>
  </si>
  <si>
    <t xml:space="preserve">Ford Transit  </t>
  </si>
  <si>
    <t xml:space="preserve">МАРЗ-42191  </t>
  </si>
  <si>
    <t xml:space="preserve">МАРЗ-5266   </t>
  </si>
  <si>
    <t xml:space="preserve">Autosan H7-10  </t>
  </si>
  <si>
    <t xml:space="preserve">Прицепы и полуприцепы   </t>
  </si>
  <si>
    <t xml:space="preserve">самосвальные  </t>
  </si>
  <si>
    <t>специализированными</t>
  </si>
  <si>
    <t xml:space="preserve">Прицепы-цистерны  </t>
  </si>
  <si>
    <t xml:space="preserve">кузовами  </t>
  </si>
  <si>
    <t>Нормы затрат</t>
  </si>
  <si>
    <t xml:space="preserve"> на техническое обслуживание и ремонт подвижного состава автомобильного транспорта Республики Беларусь</t>
  </si>
  <si>
    <t>Диапазоны пробегов с начала эксплуатации,  тыс км.</t>
  </si>
  <si>
    <t xml:space="preserve">Марка (модель) подвижного состава автомобильного транспорта  </t>
  </si>
  <si>
    <t>0 - 100</t>
  </si>
  <si>
    <t>101 - 300</t>
  </si>
  <si>
    <t>301 - 500</t>
  </si>
  <si>
    <t>501 - 700</t>
  </si>
  <si>
    <t>701 - 900</t>
  </si>
  <si>
    <t>свыше 900</t>
  </si>
  <si>
    <t xml:space="preserve">ГАЗ-24 "Волга"   (бензин)  </t>
  </si>
  <si>
    <t>ГАЗ-24 "Волга"  (газ)</t>
  </si>
  <si>
    <t xml:space="preserve">ГАЗ-3110, -3102  "Волга" </t>
  </si>
  <si>
    <t xml:space="preserve">Mercedes-Benz  (бензин)  </t>
  </si>
  <si>
    <t xml:space="preserve">Mercedes-Benz  (дизель)  </t>
  </si>
  <si>
    <t xml:space="preserve">Volkswagen Passat (бензин)  </t>
  </si>
  <si>
    <t xml:space="preserve">Саманд ЛХ   (бензин)  </t>
  </si>
  <si>
    <t xml:space="preserve">ЗАЗ Sens (бензин),  специальный  </t>
  </si>
  <si>
    <t xml:space="preserve">Volkswagen  Caravelle (дизель)  </t>
  </si>
  <si>
    <t xml:space="preserve">ГАЗ-2752-114  (грузопассажирский) </t>
  </si>
  <si>
    <t xml:space="preserve">ГАЗ-3302, -2705  (бензин)  </t>
  </si>
  <si>
    <t xml:space="preserve">ГАЗ-33075, -33076 (газ)   </t>
  </si>
  <si>
    <t xml:space="preserve">ГАЗ-4301 (дизель),  фургон   </t>
  </si>
  <si>
    <t xml:space="preserve">ГАЗ-САЗ   35071 самосвал  (дизель)  </t>
  </si>
  <si>
    <t xml:space="preserve">ГАЗ-47412, -474700, фургон (бензин)  </t>
  </si>
  <si>
    <t xml:space="preserve">ГАЗ-27751, фургон (бензин)  </t>
  </si>
  <si>
    <t xml:space="preserve">ГАЗ-27751, фургон (дизель)  </t>
  </si>
  <si>
    <t xml:space="preserve">ГАЗ 3307, -377020 (бензин), фургон  </t>
  </si>
  <si>
    <t xml:space="preserve">ГАЗ 3307 (бензин),   бортовой  </t>
  </si>
  <si>
    <t xml:space="preserve">ГАЗ 330232-218,  (бензин)  бортовой  </t>
  </si>
  <si>
    <t xml:space="preserve">ПАЗ-3742, -37421, фургон (бензин)  </t>
  </si>
  <si>
    <t xml:space="preserve">ЗИЛ двухосный  (бензин)  </t>
  </si>
  <si>
    <t xml:space="preserve">ЗИЛ трехосный  (бензин)  </t>
  </si>
  <si>
    <t xml:space="preserve">ЗИЛ двухосный  (дизель)  </t>
  </si>
  <si>
    <t xml:space="preserve">ЗИЛ трехосный  (дизель)  </t>
  </si>
  <si>
    <t xml:space="preserve">ЗИЛ-433362 КО-502Б2,-КДМ-130В, -КО-829А, (бензин),   специальные  </t>
  </si>
  <si>
    <t xml:space="preserve">МАЗ-437040,  -437041 (фургон)  </t>
  </si>
  <si>
    <t xml:space="preserve">МАЗ-533603,  -533605 -533608 (бортовой)  </t>
  </si>
  <si>
    <t xml:space="preserve">МАЗ-5337/КО-514-1 (цистерна каналопромывочная)  </t>
  </si>
  <si>
    <t xml:space="preserve">МАЗ-533702 КС-3579,- КО-806,   специальные  </t>
  </si>
  <si>
    <t xml:space="preserve">МАЗ двухосный  грузоподъемностью до 10 т бортовой  </t>
  </si>
  <si>
    <t>МАЗ двухосный  грузоподъемностью до 10 т , самосвал</t>
  </si>
  <si>
    <t>МАЗ двухосный  грузоподъемностью до 10 т, седельный тягач</t>
  </si>
  <si>
    <t xml:space="preserve">МАЗ двухосный  грузоподъемностью более 10 т бортовой  </t>
  </si>
  <si>
    <t>МАЗ двухосный  грузоподъемностью более 10 т самосвал</t>
  </si>
  <si>
    <t>МАЗ двухосный  грузоподъемностью более 10 т седельный тягач</t>
  </si>
  <si>
    <t xml:space="preserve">МАЗ трехосный  бортовой  </t>
  </si>
  <si>
    <t xml:space="preserve">МАЗ трехосный,  самосвал  </t>
  </si>
  <si>
    <t xml:space="preserve">МАЗ трехосный,  седельный тягач  </t>
  </si>
  <si>
    <t xml:space="preserve">МЗКТ-6515 и его  модификации, самосвал  </t>
  </si>
  <si>
    <t xml:space="preserve">АТЗ-56142-06 (шасси МАЗ-533702),  топливозаправщик  </t>
  </si>
  <si>
    <t xml:space="preserve">КамАЗ бортовой  (дизель)  </t>
  </si>
  <si>
    <t xml:space="preserve">КамАЗ самосвал  (дизель)  </t>
  </si>
  <si>
    <t xml:space="preserve">КамАЗ седельный  тягач (дизель)  </t>
  </si>
  <si>
    <t xml:space="preserve">АТУ-50   (переоборудованный БелАЗ-540А),    автопоезд   </t>
  </si>
  <si>
    <t xml:space="preserve">БелАЗ-75471,  карьерный самосвал  </t>
  </si>
  <si>
    <t xml:space="preserve">БелАЗ-7548,  карьерный самосвал  </t>
  </si>
  <si>
    <t xml:space="preserve">БелАЗ-7555В,  карьерный самосвал  </t>
  </si>
  <si>
    <t xml:space="preserve">БелАЗ-7423,  тягач-буксировщик </t>
  </si>
  <si>
    <t xml:space="preserve">БелАЗ-7523,  самосвал  </t>
  </si>
  <si>
    <t xml:space="preserve">ДАФ XF, седельный тягач   </t>
  </si>
  <si>
    <t xml:space="preserve">Iveco седельный  тягач (дизель)  </t>
  </si>
  <si>
    <t xml:space="preserve">МАЗ-MAN 543268,  двухосный,  седельный тягач  </t>
  </si>
  <si>
    <t xml:space="preserve">МАЗ-MAN 642268,  -642368, трехосный, седельный тягач  </t>
  </si>
  <si>
    <t xml:space="preserve">MAN TGA 19.390,  седельный тягач  </t>
  </si>
  <si>
    <t xml:space="preserve">MAN TGX 18.400,  седельный тягач  </t>
  </si>
  <si>
    <t xml:space="preserve">Mercedes-Benz  седельный тягач  (дизель)  </t>
  </si>
  <si>
    <t xml:space="preserve">Mercedes-Benz  609Д, фургон  </t>
  </si>
  <si>
    <t xml:space="preserve">Peugeot Boxer FT440 L4H3   </t>
  </si>
  <si>
    <t xml:space="preserve">Peugeot Boxer FT350 LH2,2   </t>
  </si>
  <si>
    <t xml:space="preserve">Peugeot Boxer FT  L3H2 (дизель),  специальный  грузопассажирский </t>
  </si>
  <si>
    <t xml:space="preserve">Scania седельный  тягач (дизель)  </t>
  </si>
  <si>
    <t xml:space="preserve">Volvo седельный  тягач (дизель)  </t>
  </si>
  <si>
    <t xml:space="preserve">Volkswagen Crafter  (дизель), специальный  грузопассажирский </t>
  </si>
  <si>
    <t xml:space="preserve">Renault Master  Yunimed (дизель), специальный  грузопассажирский </t>
  </si>
  <si>
    <t xml:space="preserve">Renault Lubava (дизель), специальный  грузопассажирский </t>
  </si>
  <si>
    <t xml:space="preserve">Mudan MD 1042 P  (дизель), фургон  </t>
  </si>
  <si>
    <t xml:space="preserve">А 092   Богдан-Радзимич  </t>
  </si>
  <si>
    <t xml:space="preserve">ЛАЗ-697, -699  (бензин)  </t>
  </si>
  <si>
    <t xml:space="preserve">ЛАЗ-697, -699  (дизель)  </t>
  </si>
  <si>
    <t>Ikarus-250, -255,-256,00</t>
  </si>
  <si>
    <t xml:space="preserve">Mercedes-Benz-  Sprinter 411 CDI  </t>
  </si>
  <si>
    <t xml:space="preserve">Mercedes-13V  (дизель)  </t>
  </si>
  <si>
    <t xml:space="preserve">Mercedes-0309-08  (дизель)  </t>
  </si>
  <si>
    <t xml:space="preserve">Mercedes-LPL 913  (дизель)  </t>
  </si>
  <si>
    <t xml:space="preserve">Mercedes-c 0402  (дизель)  </t>
  </si>
  <si>
    <t xml:space="preserve">Setra S315HD  (дизель)  </t>
  </si>
  <si>
    <t xml:space="preserve">Autosan N9-20, - N9-21   
</t>
  </si>
  <si>
    <t xml:space="preserve">Прицепы одноосные бортовые и роспуски </t>
  </si>
  <si>
    <t xml:space="preserve">СМ &lt;**&gt;   </t>
  </si>
  <si>
    <t xml:space="preserve">Прицепы одноосные самосвальные  </t>
  </si>
  <si>
    <t xml:space="preserve">Прицепы двухосные бортовые и роспуски </t>
  </si>
  <si>
    <t xml:space="preserve">Прицепы двухосные самосвальные  </t>
  </si>
  <si>
    <t xml:space="preserve">Прицепы со  специализированными кузовами и трейлеры </t>
  </si>
  <si>
    <t xml:space="preserve">Полуприцепы  бортовые  </t>
  </si>
  <si>
    <t xml:space="preserve">Полуприцеп бортовой Кегель Карго-Микс SN 24   </t>
  </si>
  <si>
    <t xml:space="preserve">Полуприцеп бортовой SCHMITZ SPR 24L  </t>
  </si>
  <si>
    <t xml:space="preserve">Полуприцеп бортовой KRONE SDP 27  </t>
  </si>
  <si>
    <t xml:space="preserve">Полуприцеп SCHMITZ  SCF 24G, платформа  контейнерная  </t>
  </si>
  <si>
    <t xml:space="preserve">Полуприцепы  самосвальные  </t>
  </si>
  <si>
    <t>Полуприцепы со   со  специализированными кузовами</t>
  </si>
  <si>
    <t>&lt;**&gt; Затраты на СМ прицепов и полуприцепов составляют 20% от соответствующих затрат автомобиля-тягача.</t>
  </si>
  <si>
    <t xml:space="preserve">&lt;*&gt; В белорусских рублях (по состоянию на 1 января 2010 года).
</t>
  </si>
  <si>
    <t>Легковые автомобили</t>
  </si>
  <si>
    <t>Грузовые автомобили</t>
  </si>
  <si>
    <t>Автобусы</t>
  </si>
  <si>
    <t>Прицепы и полуприцепы</t>
  </si>
  <si>
    <t>Наименование группы</t>
  </si>
  <si>
    <t>I. Микроавтобусы и автобусы</t>
  </si>
  <si>
    <t>II. Грузовые автомобили</t>
  </si>
  <si>
    <t>Группы автотранспорта</t>
  </si>
  <si>
    <t>Микроавтобус до 10 пассажиро-мест</t>
  </si>
  <si>
    <t>Микроавтобус 10 пассажиро-мест и более</t>
  </si>
  <si>
    <t>Автобус до 20 пассажиро-мест</t>
  </si>
  <si>
    <t>Автобус от 20 пассажиро-мест до 35 пассажиро-мест</t>
  </si>
  <si>
    <t>Автобус 35 пассажиро-мест и более</t>
  </si>
  <si>
    <t>Грузопассажирский автомобиль (грузоподъемность до 2 т, вместимость до 5 пассажиро-мест)</t>
  </si>
  <si>
    <t>Грузопассажирский автомобиль (грузоподъемность до 2 т, вместимость 5 пассажиро-мест и более)</t>
  </si>
  <si>
    <t>Грузопассажирский автомобиль (грузоподъемность 2 т и более, вместимость до 5 пассажиро-мест)</t>
  </si>
  <si>
    <t>Грузопассажирский автомобиль (грузоподъемность 2 т и более, вместимость 5 пассажиро-мест и более)</t>
  </si>
  <si>
    <t>Автомобиль грузовой с бортовой платформой (грузоподъемность до 1 т)</t>
  </si>
  <si>
    <t>Автомобиль грузовой с бортовой платформой (грузоподъемность от 1 т до 2.6 т)</t>
  </si>
  <si>
    <t>Автомобиль грузовой с бортовой платформой (грузоподъемность от 2,6 т до 6,1 т)</t>
  </si>
  <si>
    <t>Автомобиль грузовой с бортовой платформой (грузоподъемность от 6,1 т до 10 т)</t>
  </si>
  <si>
    <t>Автомобиль грузовой с бортовой платформой (грузоподъемность 10 т и более)</t>
  </si>
  <si>
    <t>Грузовой фургон (грузоподъемность до 0,7 т)</t>
  </si>
  <si>
    <t>Грузовой фургон (грузоподъемность от 0,7 до 2,1 т)</t>
  </si>
  <si>
    <t>Грузовой фургон (грузоподъемность от 2,1 до 6 т)</t>
  </si>
  <si>
    <t>Грузовой фургон (грузоподъемность 6 т и более)</t>
  </si>
  <si>
    <t>Грузовой автомобиль-самосвал (грузоподъемность до 4,6 т)</t>
  </si>
  <si>
    <t>Грузовой автомобиль-самосвал (грузоподъемность от 4,6 т до 8 т)</t>
  </si>
  <si>
    <t>Грузовой автомобиль-самосвал (грузоподъемность от 8 т до 10,1 т)</t>
  </si>
  <si>
    <t>Грузовой автомобиль-самосвал (грузоподъемность 10,1 т и более, объем кузова до 20 м³)</t>
  </si>
  <si>
    <t>Грузовой автомобиль-самосвал (грузоподъемность 10,1 т и более, объем кузова 20 м³ и более)</t>
  </si>
  <si>
    <t>Седельный тягач (грузоподъемность полуприцепа до 20 т)</t>
  </si>
  <si>
    <t>Седельный тягач (грузоподъемность полуприцепа 20 т и более)</t>
  </si>
  <si>
    <t>Фургон изотермический (рефрижератор) (грузоподъемность до 1,1 т)</t>
  </si>
  <si>
    <t>Фургон изотермический (рефрижератор) (грузоподъемность от 1,1 т до 3 т)</t>
  </si>
  <si>
    <t>Фургон изотермический (рефрижератор) (грузоподъемность 3 т и более)</t>
  </si>
  <si>
    <t>Калькуляция стоимости 1 часа использования</t>
  </si>
  <si>
    <t>Расчет  себестоимости 1 часа использования</t>
  </si>
  <si>
    <t>Расчет затрат на заработную плату водителей</t>
  </si>
  <si>
    <t>Расчет амортизационных отчислений</t>
  </si>
  <si>
    <t>Калькуляция стоимости 1 км пробега (с топливом)</t>
  </si>
  <si>
    <t>Калькуляция стоимости 1 км пробега (без топлива)</t>
  </si>
  <si>
    <t>себестоимости 1 км пробега по группе:</t>
  </si>
  <si>
    <t>Расчет себестоимости   1 км пробега</t>
  </si>
  <si>
    <t>Расчет затрат на техническое обслуживание на 1 км пробега автотранспорта</t>
  </si>
  <si>
    <t>Расчет затрат на топливо на 1 км пробега автотранспорта</t>
  </si>
  <si>
    <t>Расчет  затрат на восстановление шин на 1 км пробега автотранспорта</t>
  </si>
  <si>
    <t>Нормы затрат на техническое обслуживание и ремонт подвижного состава автомобильного транспорта</t>
  </si>
  <si>
    <t>221 kW, 4АКПП</t>
  </si>
  <si>
    <t>Ford F-150 5,4i</t>
  </si>
  <si>
    <t>6765 АА-5</t>
  </si>
  <si>
    <t>5642 ВВ-5</t>
  </si>
  <si>
    <t>4455 EA-5</t>
  </si>
  <si>
    <t>4785 AX-5</t>
  </si>
  <si>
    <t>2210 KK-5</t>
  </si>
  <si>
    <t>Fiat Doblo 1,9JTD</t>
  </si>
  <si>
    <t>77 kW</t>
  </si>
  <si>
    <t>Mercedes Benz Vito 108  2,1CDi</t>
  </si>
  <si>
    <t>Renault Kangoo 1,9D</t>
  </si>
  <si>
    <t>47 kW</t>
  </si>
  <si>
    <t>58 kW</t>
  </si>
  <si>
    <t>ГАЗ-27527</t>
  </si>
  <si>
    <t>ЗМЗ-40522R</t>
  </si>
  <si>
    <t xml:space="preserve">Обязательные отчисления в ФСЗН </t>
  </si>
  <si>
    <t>200/80 R18</t>
  </si>
  <si>
    <t>220/90 R20</t>
  </si>
  <si>
    <t>200/90 R20</t>
  </si>
  <si>
    <t>Годовая норма рабочего времени на 2011 год</t>
  </si>
  <si>
    <t>Среднемесячное количество часов работы в 2011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</si>
</sst>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%"/>
    <numFmt numFmtId="175" formatCode="0.0%"/>
    <numFmt numFmtId="176" formatCode="0.000%"/>
    <numFmt numFmtId="177" formatCode="0.0000%"/>
    <numFmt numFmtId="178" formatCode="#,##0.000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u val="single"/>
      <sz val="9"/>
      <name val="Tahoma"/>
      <family val="2"/>
    </font>
    <font>
      <i/>
      <u val="single"/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sz val="8"/>
      <color indexed="43"/>
      <name val="Tahoma"/>
      <family val="2"/>
    </font>
    <font>
      <i/>
      <sz val="5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sz val="11"/>
      <name val="Tahoma"/>
      <family val="2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i/>
      <u val="single"/>
      <sz val="10"/>
      <color indexed="30"/>
      <name val="Tahoma"/>
      <family val="2"/>
    </font>
    <font>
      <sz val="9"/>
      <color indexed="30"/>
      <name val="Tahoma"/>
      <family val="2"/>
    </font>
    <font>
      <sz val="7"/>
      <color indexed="30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14" fillId="32" borderId="0" xfId="0" applyFont="1" applyFill="1" applyAlignment="1" applyProtection="1">
      <alignment vertical="center"/>
      <protection hidden="1"/>
    </xf>
    <xf numFmtId="10" fontId="2" fillId="32" borderId="0" xfId="0" applyNumberFormat="1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3" fontId="2" fillId="33" borderId="15" xfId="0" applyNumberFormat="1" applyFont="1" applyFill="1" applyBorder="1" applyAlignment="1" applyProtection="1">
      <alignment horizontal="center" vertical="center"/>
      <protection hidden="1"/>
    </xf>
    <xf numFmtId="3" fontId="14" fillId="33" borderId="15" xfId="0" applyNumberFormat="1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3" fontId="15" fillId="33" borderId="15" xfId="0" applyNumberFormat="1" applyFont="1" applyFill="1" applyBorder="1" applyAlignment="1" applyProtection="1">
      <alignment horizontal="center" vertical="center"/>
      <protection hidden="1"/>
    </xf>
    <xf numFmtId="10" fontId="7" fillId="32" borderId="0" xfId="0" applyNumberFormat="1" applyFont="1" applyFill="1" applyAlignment="1" applyProtection="1">
      <alignment vertical="center"/>
      <protection hidden="1"/>
    </xf>
    <xf numFmtId="0" fontId="7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0" fontId="8" fillId="32" borderId="0" xfId="0" applyFont="1" applyFill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 wrapText="1"/>
      <protection locked="0"/>
    </xf>
    <xf numFmtId="0" fontId="2" fillId="32" borderId="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10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14" fillId="33" borderId="15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7" fillId="34" borderId="15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left" vertical="center"/>
      <protection hidden="1"/>
    </xf>
    <xf numFmtId="0" fontId="17" fillId="33" borderId="0" xfId="0" applyFont="1" applyFill="1" applyBorder="1" applyAlignment="1" applyProtection="1">
      <alignment horizontal="center" vertical="center"/>
      <protection hidden="1"/>
    </xf>
    <xf numFmtId="172" fontId="17" fillId="33" borderId="0" xfId="0" applyNumberFormat="1" applyFont="1" applyFill="1" applyBorder="1" applyAlignment="1" applyProtection="1">
      <alignment horizontal="center" vertical="center"/>
      <protection hidden="1"/>
    </xf>
    <xf numFmtId="173" fontId="2" fillId="33" borderId="15" xfId="0" applyNumberFormat="1" applyFont="1" applyFill="1" applyBorder="1" applyAlignment="1" applyProtection="1">
      <alignment horizontal="center"/>
      <protection hidden="1"/>
    </xf>
    <xf numFmtId="3" fontId="11" fillId="33" borderId="0" xfId="0" applyNumberFormat="1" applyFont="1" applyFill="1" applyBorder="1" applyAlignment="1" applyProtection="1">
      <alignment horizontal="center" vertical="center"/>
      <protection hidden="1"/>
    </xf>
    <xf numFmtId="3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14" fillId="33" borderId="15" xfId="0" applyFont="1" applyFill="1" applyBorder="1" applyAlignment="1" applyProtection="1">
      <alignment horizontal="center"/>
      <protection hidden="1"/>
    </xf>
    <xf numFmtId="0" fontId="14" fillId="33" borderId="15" xfId="0" applyFont="1" applyFill="1" applyBorder="1" applyAlignment="1" applyProtection="1">
      <alignment horizontal="left"/>
      <protection hidden="1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174" fontId="2" fillId="33" borderId="15" xfId="0" applyNumberFormat="1" applyFont="1" applyFill="1" applyBorder="1" applyAlignment="1" applyProtection="1">
      <alignment horizontal="center" vertical="center"/>
      <protection hidden="1"/>
    </xf>
    <xf numFmtId="174" fontId="14" fillId="33" borderId="15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/>
      <protection hidden="1"/>
    </xf>
    <xf numFmtId="4" fontId="2" fillId="33" borderId="15" xfId="0" applyNumberFormat="1" applyFont="1" applyFill="1" applyBorder="1" applyAlignment="1" applyProtection="1">
      <alignment horizontal="center"/>
      <protection hidden="1"/>
    </xf>
    <xf numFmtId="4" fontId="14" fillId="33" borderId="15" xfId="0" applyNumberFormat="1" applyFont="1" applyFill="1" applyBorder="1" applyAlignment="1" applyProtection="1">
      <alignment horizontal="center"/>
      <protection hidden="1"/>
    </xf>
    <xf numFmtId="176" fontId="14" fillId="33" borderId="15" xfId="0" applyNumberFormat="1" applyFont="1" applyFill="1" applyBorder="1" applyAlignment="1" applyProtection="1">
      <alignment horizontal="center"/>
      <protection hidden="1"/>
    </xf>
    <xf numFmtId="176" fontId="15" fillId="33" borderId="15" xfId="0" applyNumberFormat="1" applyFont="1" applyFill="1" applyBorder="1" applyAlignment="1" applyProtection="1">
      <alignment horizontal="center"/>
      <protection hidden="1"/>
    </xf>
    <xf numFmtId="176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18" fillId="34" borderId="15" xfId="0" applyFont="1" applyFill="1" applyBorder="1" applyAlignment="1" applyProtection="1">
      <alignment horizontal="center" vertical="center" wrapText="1"/>
      <protection hidden="1"/>
    </xf>
    <xf numFmtId="0" fontId="14" fillId="32" borderId="0" xfId="0" applyFont="1" applyFill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0" fontId="14" fillId="33" borderId="0" xfId="0" applyFont="1" applyFill="1" applyBorder="1" applyAlignment="1" applyProtection="1">
      <alignment horizontal="right" vertical="center"/>
      <protection hidden="1"/>
    </xf>
    <xf numFmtId="0" fontId="14" fillId="33" borderId="15" xfId="0" applyFont="1" applyFill="1" applyBorder="1" applyAlignment="1" applyProtection="1">
      <alignment horizontal="left" vertical="center"/>
      <protection hidden="1"/>
    </xf>
    <xf numFmtId="4" fontId="2" fillId="33" borderId="15" xfId="0" applyNumberFormat="1" applyFont="1" applyFill="1" applyBorder="1" applyAlignment="1" applyProtection="1">
      <alignment horizontal="center" vertical="center"/>
      <protection hidden="1"/>
    </xf>
    <xf numFmtId="4" fontId="14" fillId="33" borderId="15" xfId="0" applyNumberFormat="1" applyFont="1" applyFill="1" applyBorder="1" applyAlignment="1" applyProtection="1">
      <alignment horizontal="center" vertical="center"/>
      <protection hidden="1"/>
    </xf>
    <xf numFmtId="172" fontId="14" fillId="33" borderId="15" xfId="0" applyNumberFormat="1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 vertical="center"/>
      <protection locked="0"/>
    </xf>
    <xf numFmtId="4" fontId="2" fillId="32" borderId="0" xfId="0" applyNumberFormat="1" applyFont="1" applyFill="1" applyAlignment="1" applyProtection="1">
      <alignment vertical="center"/>
      <protection hidden="1"/>
    </xf>
    <xf numFmtId="3" fontId="2" fillId="32" borderId="0" xfId="0" applyNumberFormat="1" applyFont="1" applyFill="1" applyAlignment="1" applyProtection="1">
      <alignment vertical="center"/>
      <protection hidden="1"/>
    </xf>
    <xf numFmtId="178" fontId="2" fillId="32" borderId="0" xfId="0" applyNumberFormat="1" applyFont="1" applyFill="1" applyAlignment="1" applyProtection="1">
      <alignment vertical="center"/>
      <protection hidden="1"/>
    </xf>
    <xf numFmtId="178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10" fontId="2" fillId="32" borderId="0" xfId="0" applyNumberFormat="1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10" fontId="7" fillId="32" borderId="0" xfId="0" applyNumberFormat="1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0" fontId="19" fillId="0" borderId="15" xfId="0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0" fontId="10" fillId="33" borderId="0" xfId="0" applyFont="1" applyFill="1" applyBorder="1" applyAlignment="1" applyProtection="1">
      <alignment horizontal="left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43" fillId="33" borderId="0" xfId="42" applyFill="1" applyBorder="1" applyAlignment="1" applyProtection="1">
      <alignment horizontal="left" vertical="center" wrapText="1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43" fillId="32" borderId="0" xfId="42" applyFill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4" fontId="14" fillId="0" borderId="15" xfId="0" applyNumberFormat="1" applyFont="1" applyFill="1" applyBorder="1" applyAlignment="1" applyProtection="1">
      <alignment horizontal="center"/>
      <protection hidden="1"/>
    </xf>
    <xf numFmtId="4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9" fillId="33" borderId="23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7" fillId="34" borderId="24" xfId="0" applyFont="1" applyFill="1" applyBorder="1" applyAlignment="1" applyProtection="1">
      <alignment horizontal="center" vertical="center" wrapText="1"/>
      <protection hidden="1"/>
    </xf>
    <xf numFmtId="0" fontId="7" fillId="34" borderId="25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0" fontId="7" fillId="34" borderId="26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Alignment="1" applyProtection="1">
      <alignment horizontal="left" vertical="center"/>
      <protection locked="0"/>
    </xf>
    <xf numFmtId="0" fontId="2" fillId="32" borderId="0" xfId="0" applyFont="1" applyFill="1" applyAlignment="1" applyProtection="1">
      <alignment horizontal="left" vertical="center" wrapText="1"/>
      <protection locked="0"/>
    </xf>
    <xf numFmtId="0" fontId="2" fillId="32" borderId="0" xfId="0" applyFont="1" applyFill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top" wrapText="1"/>
    </xf>
    <xf numFmtId="4" fontId="20" fillId="0" borderId="20" xfId="0" applyNumberFormat="1" applyFont="1" applyBorder="1" applyAlignment="1">
      <alignment horizontal="left" vertical="top" wrapText="1"/>
    </xf>
    <xf numFmtId="4" fontId="20" fillId="0" borderId="21" xfId="0" applyNumberFormat="1" applyFont="1" applyBorder="1" applyAlignment="1">
      <alignment horizontal="left" vertical="top" wrapText="1"/>
    </xf>
    <xf numFmtId="4" fontId="20" fillId="0" borderId="22" xfId="0" applyNumberFormat="1" applyFont="1" applyBorder="1" applyAlignment="1">
      <alignment horizontal="left" vertical="top" wrapText="1"/>
    </xf>
    <xf numFmtId="4" fontId="19" fillId="0" borderId="24" xfId="0" applyNumberFormat="1" applyFont="1" applyBorder="1" applyAlignment="1">
      <alignment horizontal="left" vertical="center" wrapText="1" indent="1"/>
    </xf>
    <xf numFmtId="4" fontId="19" fillId="0" borderId="26" xfId="0" applyNumberFormat="1" applyFont="1" applyBorder="1" applyAlignment="1">
      <alignment horizontal="left" vertical="center" wrapText="1" indent="1"/>
    </xf>
    <xf numFmtId="4" fontId="19" fillId="0" borderId="25" xfId="0" applyNumberFormat="1" applyFont="1" applyBorder="1" applyAlignment="1">
      <alignment horizontal="left" vertical="center" wrapText="1" indent="1"/>
    </xf>
    <xf numFmtId="0" fontId="10" fillId="33" borderId="0" xfId="0" applyFont="1" applyFill="1" applyBorder="1" applyAlignment="1" applyProtection="1">
      <alignment horizontal="left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43" fillId="33" borderId="0" xfId="42" applyFill="1" applyBorder="1" applyAlignment="1" applyProtection="1">
      <alignment horizontal="left" vertical="center" wrapText="1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X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16.140625" style="1" customWidth="1"/>
    <col min="8" max="8" width="16.8515625" style="1" customWidth="1"/>
    <col min="9" max="9" width="13.8515625" style="1" customWidth="1"/>
    <col min="10" max="10" width="4.140625" style="1" customWidth="1"/>
    <col min="11" max="11" width="2.14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0.5">
      <c r="B3" s="7"/>
      <c r="C3" s="34"/>
      <c r="D3" s="34"/>
      <c r="E3" s="34"/>
      <c r="F3" s="34"/>
      <c r="G3" s="34"/>
      <c r="H3" s="34" t="s">
        <v>7</v>
      </c>
      <c r="I3" s="34"/>
      <c r="J3" s="8"/>
    </row>
    <row r="4" spans="2:12" ht="15">
      <c r="B4" s="7"/>
      <c r="C4" s="34"/>
      <c r="D4" s="34"/>
      <c r="E4" s="34"/>
      <c r="F4" s="34"/>
      <c r="G4" s="34"/>
      <c r="H4" s="34" t="s">
        <v>8</v>
      </c>
      <c r="I4" s="34"/>
      <c r="J4" s="8"/>
      <c r="L4" s="103" t="s">
        <v>439</v>
      </c>
    </row>
    <row r="5" spans="2:12" ht="15">
      <c r="B5" s="7"/>
      <c r="C5" s="34"/>
      <c r="D5" s="34"/>
      <c r="E5" s="34"/>
      <c r="F5" s="34"/>
      <c r="G5" s="34"/>
      <c r="H5" s="35"/>
      <c r="I5" s="36" t="s">
        <v>17</v>
      </c>
      <c r="J5" s="59"/>
      <c r="L5" s="103" t="s">
        <v>440</v>
      </c>
    </row>
    <row r="6" spans="2:12" ht="20.25" customHeight="1">
      <c r="B6" s="7"/>
      <c r="C6" s="34"/>
      <c r="D6" s="34"/>
      <c r="E6" s="34"/>
      <c r="F6" s="34"/>
      <c r="G6" s="34"/>
      <c r="H6" s="34" t="s">
        <v>9</v>
      </c>
      <c r="I6" s="36"/>
      <c r="J6" s="59"/>
      <c r="L6" s="103" t="s">
        <v>441</v>
      </c>
    </row>
    <row r="7" spans="2:12" ht="15">
      <c r="B7" s="7"/>
      <c r="C7" s="34"/>
      <c r="D7" s="34"/>
      <c r="E7" s="34"/>
      <c r="F7" s="34"/>
      <c r="G7" s="34"/>
      <c r="H7" s="36"/>
      <c r="I7" s="36"/>
      <c r="J7" s="8"/>
      <c r="L7" s="103" t="s">
        <v>442</v>
      </c>
    </row>
    <row r="8" spans="2:12" ht="15">
      <c r="B8" s="7"/>
      <c r="C8" s="108" t="s">
        <v>13</v>
      </c>
      <c r="D8" s="108"/>
      <c r="E8" s="108"/>
      <c r="F8" s="108"/>
      <c r="G8" s="108"/>
      <c r="H8" s="108"/>
      <c r="I8" s="108"/>
      <c r="J8" s="8"/>
      <c r="L8" s="103" t="s">
        <v>99</v>
      </c>
    </row>
    <row r="9" spans="2:12" ht="15">
      <c r="B9" s="7"/>
      <c r="C9" s="109" t="s">
        <v>14</v>
      </c>
      <c r="D9" s="109"/>
      <c r="E9" s="109"/>
      <c r="F9" s="109"/>
      <c r="G9" s="109"/>
      <c r="H9" s="109"/>
      <c r="I9" s="109"/>
      <c r="J9" s="8"/>
      <c r="L9" s="103" t="s">
        <v>115</v>
      </c>
    </row>
    <row r="10" spans="2:10" ht="28.5" customHeight="1">
      <c r="B10" s="7"/>
      <c r="C10" s="110" t="str">
        <f>'группы автотранспорта'!D16</f>
        <v>Грузопассажирский автомобиль (грузоподъемность 2 т и более, вместимость 5 пассажиро-мест и более)</v>
      </c>
      <c r="D10" s="110"/>
      <c r="E10" s="110"/>
      <c r="F10" s="110"/>
      <c r="G10" s="110"/>
      <c r="H10" s="110"/>
      <c r="I10" s="110"/>
      <c r="J10" s="8"/>
    </row>
    <row r="11" spans="2:12" ht="15">
      <c r="B11" s="7"/>
      <c r="C11" s="9"/>
      <c r="D11" s="9"/>
      <c r="E11" s="9"/>
      <c r="F11" s="9"/>
      <c r="G11" s="9"/>
      <c r="H11" s="9"/>
      <c r="I11" s="9"/>
      <c r="J11" s="8"/>
      <c r="L11" s="103" t="s">
        <v>443</v>
      </c>
    </row>
    <row r="12" spans="2:12" ht="15">
      <c r="B12" s="7"/>
      <c r="C12" s="10"/>
      <c r="D12" s="10"/>
      <c r="E12" s="10"/>
      <c r="F12" s="11"/>
      <c r="G12" s="11"/>
      <c r="H12" s="11"/>
      <c r="I12" s="11"/>
      <c r="J12" s="8"/>
      <c r="L12" s="103" t="s">
        <v>444</v>
      </c>
    </row>
    <row r="13" spans="2:12" ht="15">
      <c r="B13" s="7"/>
      <c r="C13" s="12" t="s">
        <v>1</v>
      </c>
      <c r="D13" s="111" t="s">
        <v>15</v>
      </c>
      <c r="E13" s="111"/>
      <c r="F13" s="111"/>
      <c r="G13" s="111"/>
      <c r="H13" s="13" t="s">
        <v>16</v>
      </c>
      <c r="I13" s="13" t="s">
        <v>2</v>
      </c>
      <c r="J13" s="8"/>
      <c r="L13" s="103" t="s">
        <v>446</v>
      </c>
    </row>
    <row r="14" spans="2:12" ht="15">
      <c r="B14" s="7"/>
      <c r="C14" s="14">
        <v>1</v>
      </c>
      <c r="D14" s="112" t="s">
        <v>18</v>
      </c>
      <c r="E14" s="113"/>
      <c r="F14" s="113"/>
      <c r="G14" s="114"/>
      <c r="H14" s="40"/>
      <c r="I14" s="16">
        <f>'Себестоимость 1 машино-часа'!H31</f>
        <v>6533</v>
      </c>
      <c r="J14" s="8"/>
      <c r="K14" s="77"/>
      <c r="L14" s="103" t="s">
        <v>447</v>
      </c>
    </row>
    <row r="15" spans="2:12" ht="15">
      <c r="B15" s="7"/>
      <c r="C15" s="14">
        <v>2</v>
      </c>
      <c r="D15" s="112" t="s">
        <v>19</v>
      </c>
      <c r="E15" s="113"/>
      <c r="F15" s="113"/>
      <c r="G15" s="114"/>
      <c r="H15" s="40">
        <v>0.15</v>
      </c>
      <c r="I15" s="16">
        <f>ROUND(I14*H15,0)</f>
        <v>980</v>
      </c>
      <c r="J15" s="8"/>
      <c r="K15" s="77"/>
      <c r="L15" s="103" t="s">
        <v>448</v>
      </c>
    </row>
    <row r="16" spans="2:12" ht="15">
      <c r="B16" s="7"/>
      <c r="C16" s="14">
        <v>3</v>
      </c>
      <c r="D16" s="112" t="s">
        <v>20</v>
      </c>
      <c r="E16" s="113"/>
      <c r="F16" s="113"/>
      <c r="G16" s="114"/>
      <c r="H16" s="40">
        <v>0.34</v>
      </c>
      <c r="I16" s="16">
        <f>ROUND((I14+I15)*H16,0)</f>
        <v>2554</v>
      </c>
      <c r="J16" s="8"/>
      <c r="K16" s="77"/>
      <c r="L16" s="103" t="s">
        <v>449</v>
      </c>
    </row>
    <row r="17" spans="2:11" ht="10.5">
      <c r="B17" s="7"/>
      <c r="C17" s="14">
        <v>4</v>
      </c>
      <c r="D17" s="112" t="s">
        <v>21</v>
      </c>
      <c r="E17" s="113"/>
      <c r="F17" s="113"/>
      <c r="G17" s="114"/>
      <c r="H17" s="40">
        <v>0.006</v>
      </c>
      <c r="I17" s="16">
        <f>ROUND((I14+I15)*H17,0)</f>
        <v>45</v>
      </c>
      <c r="J17" s="8"/>
      <c r="K17" s="77"/>
    </row>
    <row r="18" spans="2:11" ht="10.5">
      <c r="B18" s="7"/>
      <c r="C18" s="14">
        <v>5</v>
      </c>
      <c r="D18" s="112" t="s">
        <v>22</v>
      </c>
      <c r="E18" s="113"/>
      <c r="F18" s="113"/>
      <c r="G18" s="114"/>
      <c r="H18" s="40"/>
      <c r="I18" s="16">
        <f>'Себестоимость 1 машино-часа'!L31</f>
        <v>8556</v>
      </c>
      <c r="J18" s="8"/>
      <c r="K18" s="77"/>
    </row>
    <row r="19" spans="2:12" ht="15">
      <c r="B19" s="7"/>
      <c r="C19" s="14">
        <v>6</v>
      </c>
      <c r="D19" s="112" t="s">
        <v>23</v>
      </c>
      <c r="E19" s="113"/>
      <c r="F19" s="113"/>
      <c r="G19" s="114"/>
      <c r="H19" s="65">
        <f>'расчет % ОПР'!F29</f>
        <v>0.54733</v>
      </c>
      <c r="I19" s="16">
        <f>ROUND(I14*H19,0)</f>
        <v>3576</v>
      </c>
      <c r="J19" s="8"/>
      <c r="K19" s="77"/>
      <c r="L19" s="103" t="s">
        <v>450</v>
      </c>
    </row>
    <row r="20" spans="2:12" ht="15">
      <c r="B20" s="7"/>
      <c r="C20" s="14">
        <v>7</v>
      </c>
      <c r="D20" s="112" t="s">
        <v>24</v>
      </c>
      <c r="E20" s="113"/>
      <c r="F20" s="113"/>
      <c r="G20" s="114"/>
      <c r="H20" s="65">
        <f>'расчет % ОХР'!F33</f>
        <v>0.51364</v>
      </c>
      <c r="I20" s="16">
        <f>ROUND(I14*H20,0)</f>
        <v>3356</v>
      </c>
      <c r="J20" s="8"/>
      <c r="K20" s="77"/>
      <c r="L20" s="103" t="s">
        <v>410</v>
      </c>
    </row>
    <row r="21" spans="2:11" ht="10.5">
      <c r="B21" s="7"/>
      <c r="C21" s="14">
        <v>8</v>
      </c>
      <c r="D21" s="112" t="s">
        <v>25</v>
      </c>
      <c r="E21" s="113"/>
      <c r="F21" s="113"/>
      <c r="G21" s="114"/>
      <c r="H21" s="40"/>
      <c r="I21" s="16">
        <f>SUM(I14:I20)</f>
        <v>25600</v>
      </c>
      <c r="J21" s="8"/>
      <c r="K21" s="77"/>
    </row>
    <row r="22" spans="2:11" ht="10.5">
      <c r="B22" s="7"/>
      <c r="C22" s="14">
        <v>9</v>
      </c>
      <c r="D22" s="112" t="s">
        <v>26</v>
      </c>
      <c r="E22" s="113"/>
      <c r="F22" s="113"/>
      <c r="G22" s="114"/>
      <c r="H22" s="40">
        <v>0.0025</v>
      </c>
      <c r="I22" s="16">
        <f>ROUND(I21*H22,0)</f>
        <v>64</v>
      </c>
      <c r="J22" s="8"/>
      <c r="K22" s="77"/>
    </row>
    <row r="23" spans="2:11" ht="10.5">
      <c r="B23" s="7"/>
      <c r="C23" s="14">
        <v>10</v>
      </c>
      <c r="D23" s="112" t="s">
        <v>27</v>
      </c>
      <c r="E23" s="113"/>
      <c r="F23" s="113"/>
      <c r="G23" s="114"/>
      <c r="H23" s="40"/>
      <c r="I23" s="16">
        <f>I22+I21</f>
        <v>25664</v>
      </c>
      <c r="J23" s="8"/>
      <c r="K23" s="77"/>
    </row>
    <row r="24" spans="2:11" ht="10.5">
      <c r="B24" s="7"/>
      <c r="C24" s="14">
        <v>11</v>
      </c>
      <c r="D24" s="112" t="s">
        <v>28</v>
      </c>
      <c r="E24" s="113"/>
      <c r="F24" s="113"/>
      <c r="G24" s="114"/>
      <c r="H24" s="40">
        <v>0.2</v>
      </c>
      <c r="I24" s="16">
        <f>ROUND(I23*H24,0)</f>
        <v>5133</v>
      </c>
      <c r="J24" s="8"/>
      <c r="K24" s="77"/>
    </row>
    <row r="25" spans="2:11" ht="10.5">
      <c r="B25" s="7"/>
      <c r="C25" s="14">
        <v>12</v>
      </c>
      <c r="D25" s="112" t="s">
        <v>29</v>
      </c>
      <c r="E25" s="113"/>
      <c r="F25" s="113"/>
      <c r="G25" s="114"/>
      <c r="H25" s="40"/>
      <c r="I25" s="16">
        <f>I23+I24</f>
        <v>30797</v>
      </c>
      <c r="J25" s="8"/>
      <c r="K25" s="77"/>
    </row>
    <row r="26" spans="2:11" ht="10.5">
      <c r="B26" s="7"/>
      <c r="C26" s="14">
        <v>13</v>
      </c>
      <c r="D26" s="112" t="s">
        <v>30</v>
      </c>
      <c r="E26" s="113"/>
      <c r="F26" s="113"/>
      <c r="G26" s="114"/>
      <c r="H26" s="40">
        <v>0.2</v>
      </c>
      <c r="I26" s="16">
        <f>ROUND(I25*H26,0)</f>
        <v>6159</v>
      </c>
      <c r="J26" s="8"/>
      <c r="K26" s="77"/>
    </row>
    <row r="27" spans="2:11" ht="10.5">
      <c r="B27" s="7"/>
      <c r="C27" s="14">
        <v>14</v>
      </c>
      <c r="D27" s="112" t="s">
        <v>31</v>
      </c>
      <c r="E27" s="113"/>
      <c r="F27" s="113"/>
      <c r="G27" s="114"/>
      <c r="H27" s="40"/>
      <c r="I27" s="18">
        <f>I25+I26</f>
        <v>36956</v>
      </c>
      <c r="J27" s="8"/>
      <c r="K27" s="77"/>
    </row>
    <row r="28" spans="2:10" ht="10.5">
      <c r="B28" s="7"/>
      <c r="C28" s="10"/>
      <c r="D28" s="10"/>
      <c r="E28" s="10"/>
      <c r="F28" s="11"/>
      <c r="G28" s="11"/>
      <c r="H28" s="11"/>
      <c r="I28" s="11"/>
      <c r="J28" s="8"/>
    </row>
    <row r="29" spans="2:10" ht="10.5">
      <c r="B29" s="7"/>
      <c r="C29" s="10"/>
      <c r="D29" s="10"/>
      <c r="E29" s="10"/>
      <c r="F29" s="11"/>
      <c r="G29" s="11"/>
      <c r="H29" s="11"/>
      <c r="I29" s="11"/>
      <c r="J29" s="8"/>
    </row>
    <row r="30" spans="2:10" ht="10.5">
      <c r="B30" s="7"/>
      <c r="C30" s="10"/>
      <c r="D30" s="10"/>
      <c r="E30" s="10"/>
      <c r="F30" s="11"/>
      <c r="G30" s="11"/>
      <c r="H30" s="11"/>
      <c r="I30" s="11"/>
      <c r="J30" s="8"/>
    </row>
    <row r="31" spans="2:10" ht="10.5">
      <c r="B31" s="7"/>
      <c r="C31" s="10" t="s">
        <v>5</v>
      </c>
      <c r="D31" s="10"/>
      <c r="E31" s="117"/>
      <c r="F31" s="117"/>
      <c r="G31" s="116" t="s">
        <v>11</v>
      </c>
      <c r="H31" s="116"/>
      <c r="I31" s="11"/>
      <c r="J31" s="8"/>
    </row>
    <row r="32" spans="2:10" ht="23.25" customHeight="1">
      <c r="B32" s="7"/>
      <c r="C32" s="10"/>
      <c r="D32" s="10"/>
      <c r="E32" s="115" t="s">
        <v>10</v>
      </c>
      <c r="F32" s="115"/>
      <c r="G32" s="11"/>
      <c r="H32" s="11"/>
      <c r="I32" s="11"/>
      <c r="J32" s="8"/>
    </row>
    <row r="33" spans="2:10" ht="10.5">
      <c r="B33" s="7"/>
      <c r="C33" s="10" t="s">
        <v>6</v>
      </c>
      <c r="D33" s="10"/>
      <c r="E33" s="117"/>
      <c r="F33" s="117"/>
      <c r="G33" s="116" t="s">
        <v>12</v>
      </c>
      <c r="H33" s="116"/>
      <c r="I33" s="11"/>
      <c r="J33" s="8"/>
    </row>
    <row r="34" spans="2:10" ht="10.5">
      <c r="B34" s="7"/>
      <c r="C34" s="10"/>
      <c r="D34" s="10"/>
      <c r="E34" s="115" t="s">
        <v>10</v>
      </c>
      <c r="F34" s="115"/>
      <c r="G34" s="11"/>
      <c r="H34" s="11"/>
      <c r="I34" s="11"/>
      <c r="J34" s="8"/>
    </row>
    <row r="35" spans="2:10" ht="10.5">
      <c r="B35" s="7"/>
      <c r="C35" s="10"/>
      <c r="D35" s="10"/>
      <c r="E35" s="10"/>
      <c r="F35" s="11"/>
      <c r="G35" s="11"/>
      <c r="H35" s="11"/>
      <c r="I35" s="11"/>
      <c r="J35" s="8"/>
    </row>
    <row r="36" spans="2:10" ht="10.5">
      <c r="B36" s="7"/>
      <c r="C36" s="10"/>
      <c r="D36" s="10"/>
      <c r="E36" s="10"/>
      <c r="F36" s="11"/>
      <c r="G36" s="11"/>
      <c r="H36" s="11"/>
      <c r="I36" s="11"/>
      <c r="J36" s="8"/>
    </row>
    <row r="37" spans="1:50" s="23" customFormat="1" ht="10.5">
      <c r="A37" s="19"/>
      <c r="B37" s="20"/>
      <c r="C37" s="21"/>
      <c r="D37" s="21"/>
      <c r="E37" s="21"/>
      <c r="F37" s="21"/>
      <c r="G37" s="21"/>
      <c r="H37" s="21"/>
      <c r="I37" s="21"/>
      <c r="J37" s="22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2:50" ht="11.25" thickBot="1">
      <c r="B38" s="25"/>
      <c r="C38" s="26"/>
      <c r="D38" s="26"/>
      <c r="E38" s="26"/>
      <c r="F38" s="26"/>
      <c r="G38" s="26"/>
      <c r="H38" s="26"/>
      <c r="I38" s="26"/>
      <c r="J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4:50" ht="10.5"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4:50" ht="10.5">
      <c r="N40" s="2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30"/>
      <c r="AK40" s="30"/>
      <c r="AL40" s="30"/>
      <c r="AM40" s="30"/>
      <c r="AN40" s="30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3:50" ht="10.5">
      <c r="C41" s="31"/>
      <c r="D41" s="31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30"/>
      <c r="AK41" s="30"/>
      <c r="AL41" s="30"/>
      <c r="AM41" s="30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3:50" ht="10.5">
      <c r="C42" s="31"/>
      <c r="D42" s="31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3:50" ht="10.5">
      <c r="C43" s="31"/>
      <c r="D43" s="31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30"/>
      <c r="AK43" s="30"/>
      <c r="AL43" s="30"/>
      <c r="AM43" s="30"/>
      <c r="AN43" s="30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3:50" ht="10.5">
      <c r="C44" s="31"/>
      <c r="D44" s="31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30"/>
      <c r="AK44" s="30"/>
      <c r="AL44" s="30"/>
      <c r="AM44" s="30"/>
      <c r="AN44" s="30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3:50" ht="10.5">
      <c r="C45" s="31"/>
      <c r="D45" s="31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30"/>
      <c r="AK45" s="30"/>
      <c r="AL45" s="30"/>
      <c r="AM45" s="30"/>
      <c r="AN45" s="30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3:50" ht="10.5">
      <c r="C46" s="31"/>
      <c r="D46" s="31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30"/>
      <c r="AK46" s="30"/>
      <c r="AL46" s="30"/>
      <c r="AM46" s="30"/>
      <c r="AN46" s="30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3:50" ht="10.5">
      <c r="C47" s="31"/>
      <c r="D47" s="31"/>
      <c r="N47" s="28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3:50" ht="10.5">
      <c r="C48" s="31"/>
      <c r="D48" s="31"/>
      <c r="N48" s="28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3:50" ht="10.5">
      <c r="C49" s="31"/>
      <c r="D49" s="31"/>
      <c r="N49" s="28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3:50" ht="10.5">
      <c r="C50" s="31"/>
      <c r="D50" s="31"/>
      <c r="N50" s="28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3:50" ht="10.5">
      <c r="C51" s="31"/>
      <c r="D51" s="31"/>
      <c r="N51" s="2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3:50" ht="10.5">
      <c r="C52" s="31"/>
      <c r="D52" s="31"/>
      <c r="N52" s="28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3:4" ht="10.5">
      <c r="C53" s="31"/>
      <c r="D53" s="31"/>
    </row>
  </sheetData>
  <sheetProtection/>
  <mergeCells count="24">
    <mergeCell ref="E34:F34"/>
    <mergeCell ref="D27:G27"/>
    <mergeCell ref="D25:G25"/>
    <mergeCell ref="D26:G26"/>
    <mergeCell ref="G33:H33"/>
    <mergeCell ref="G31:H31"/>
    <mergeCell ref="E31:F31"/>
    <mergeCell ref="E32:F32"/>
    <mergeCell ref="E33:F33"/>
    <mergeCell ref="D16:G16"/>
    <mergeCell ref="D17:G17"/>
    <mergeCell ref="D18:G18"/>
    <mergeCell ref="D24:G24"/>
    <mergeCell ref="D19:G19"/>
    <mergeCell ref="D20:G20"/>
    <mergeCell ref="D21:G21"/>
    <mergeCell ref="D22:G22"/>
    <mergeCell ref="D23:G23"/>
    <mergeCell ref="C8:I8"/>
    <mergeCell ref="C9:I9"/>
    <mergeCell ref="C10:I10"/>
    <mergeCell ref="D13:G13"/>
    <mergeCell ref="D14:G14"/>
    <mergeCell ref="D15:G15"/>
  </mergeCells>
  <hyperlinks>
    <hyperlink ref="L4" location="'Калькуляция машино-часа'!A1" display="Калькуляция стоимости 1 часа использования"/>
    <hyperlink ref="L5" location="'Себестоимость 1 машино-часа'!A1" display="Расчет  себестоимости 1 часа использования"/>
    <hyperlink ref="L6" location="'ЗП водителей'!A1" display="Расчет затрат на заработную плату водителей"/>
    <hyperlink ref="L7" location="амортизация!A1" display="Расчет амортизационных отчислений"/>
    <hyperlink ref="L8" location="'расчет % ОПР'!A1" display="Расчет процента общепроизводственных расходов"/>
    <hyperlink ref="L9" location="'расчет % ОХР'!A1" display="Расчет процента общехозяйственных расходов"/>
    <hyperlink ref="L11" location="'Калькуляция 1 км'!A1" display="Калькуляция стоимости 1 км пробега (с топливом)"/>
    <hyperlink ref="L12" location="'Калькуляция 1 км (без топлива)'!A1" display="Калькуляция стоимости 1 км пробега (без топлива)"/>
    <hyperlink ref="L13" location="'Себестоимость 1 км'!A1" display="Расчет себестоимости 1 часа использования"/>
    <hyperlink ref="L14" location="техобслуживание!A1" display="Расчет затрат на техническое обслуживание на 1 км пробега автотранспорта"/>
    <hyperlink ref="L15" location="топливо!A1" display="Расчет затрат на топливо на 1 км пробега автотранспорта"/>
    <hyperlink ref="L16" location="'Затраты на восстановление шин'!A1" display="Расчет  затрат на восстановление шин на 1 км пробега автотранспорта"/>
    <hyperlink ref="L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L20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B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3.140625" style="1" bestFit="1" customWidth="1"/>
    <col min="5" max="5" width="12.00390625" style="1" bestFit="1" customWidth="1"/>
    <col min="6" max="6" width="8.7109375" style="1" customWidth="1"/>
    <col min="7" max="7" width="10.421875" style="1" customWidth="1"/>
    <col min="8" max="8" width="9.7109375" style="1" customWidth="1"/>
    <col min="9" max="9" width="8.8515625" style="1" bestFit="1" customWidth="1"/>
    <col min="10" max="11" width="8.00390625" style="1" bestFit="1" customWidth="1"/>
    <col min="12" max="12" width="7.7109375" style="1" customWidth="1"/>
    <col min="13" max="13" width="6.140625" style="1" bestFit="1" customWidth="1"/>
    <col min="14" max="14" width="11.140625" style="1" customWidth="1"/>
    <col min="15" max="15" width="8.00390625" style="1" customWidth="1"/>
    <col min="16" max="16" width="5.140625" style="1" customWidth="1"/>
    <col min="17" max="17" width="5.421875" style="1" bestFit="1" customWidth="1"/>
    <col min="18" max="18" width="5.7109375" style="1" bestFit="1" customWidth="1"/>
    <col min="19" max="19" width="2.140625" style="1" customWidth="1"/>
    <col min="20" max="20" width="1.28515625" style="1" customWidth="1"/>
    <col min="21" max="21" width="73.28125" style="1" customWidth="1"/>
    <col min="22" max="16384" width="9.140625" style="1" customWidth="1"/>
  </cols>
  <sheetData>
    <row r="1" spans="1:2" ht="11.25" thickBot="1">
      <c r="A1" s="1"/>
      <c r="B1" s="2" t="s">
        <v>0</v>
      </c>
    </row>
    <row r="2" spans="2:19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2:19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8"/>
    </row>
    <row r="4" spans="2:21" ht="15">
      <c r="B4" s="7"/>
      <c r="C4" s="108" t="s">
        <v>32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8"/>
      <c r="U4" s="103" t="s">
        <v>439</v>
      </c>
    </row>
    <row r="5" spans="2:21" ht="15">
      <c r="B5" s="7"/>
      <c r="C5" s="109" t="s">
        <v>132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8"/>
      <c r="U5" s="103" t="s">
        <v>440</v>
      </c>
    </row>
    <row r="6" spans="2:21" ht="15">
      <c r="B6" s="7"/>
      <c r="C6" s="118" t="str">
        <f>'Калькуляция машино-часа'!C10:I10</f>
        <v>Грузопассажирский автомобиль (грузоподъемность 2 т и более, вместимость 5 пассажиро-мест и более)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8"/>
      <c r="U6" s="103" t="s">
        <v>441</v>
      </c>
    </row>
    <row r="7" spans="2:21" ht="15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8"/>
      <c r="U7" s="103" t="s">
        <v>442</v>
      </c>
    </row>
    <row r="8" spans="2:21" ht="18.75" customHeight="1">
      <c r="B8" s="7"/>
      <c r="C8" s="119" t="s">
        <v>1</v>
      </c>
      <c r="D8" s="119" t="s">
        <v>34</v>
      </c>
      <c r="E8" s="119" t="s">
        <v>35</v>
      </c>
      <c r="F8" s="119" t="s">
        <v>36</v>
      </c>
      <c r="G8" s="119" t="s">
        <v>38</v>
      </c>
      <c r="H8" s="119" t="s">
        <v>133</v>
      </c>
      <c r="I8" s="122" t="s">
        <v>134</v>
      </c>
      <c r="J8" s="124"/>
      <c r="K8" s="124"/>
      <c r="L8" s="124"/>
      <c r="M8" s="124"/>
      <c r="N8" s="124"/>
      <c r="O8" s="124"/>
      <c r="P8" s="124"/>
      <c r="Q8" s="124"/>
      <c r="R8" s="123"/>
      <c r="S8" s="8"/>
      <c r="U8" s="103" t="s">
        <v>99</v>
      </c>
    </row>
    <row r="9" spans="2:21" ht="16.5" customHeight="1">
      <c r="B9" s="7"/>
      <c r="C9" s="126"/>
      <c r="D9" s="126"/>
      <c r="E9" s="126"/>
      <c r="F9" s="126"/>
      <c r="G9" s="126"/>
      <c r="H9" s="126"/>
      <c r="I9" s="122" t="s">
        <v>152</v>
      </c>
      <c r="J9" s="124"/>
      <c r="K9" s="123"/>
      <c r="L9" s="119" t="s">
        <v>135</v>
      </c>
      <c r="M9" s="119" t="s">
        <v>136</v>
      </c>
      <c r="N9" s="122" t="s">
        <v>141</v>
      </c>
      <c r="O9" s="123"/>
      <c r="P9" s="122" t="s">
        <v>137</v>
      </c>
      <c r="Q9" s="124"/>
      <c r="R9" s="123"/>
      <c r="S9" s="8"/>
      <c r="U9" s="103" t="s">
        <v>115</v>
      </c>
    </row>
    <row r="10" spans="2:19" ht="18">
      <c r="B10" s="7"/>
      <c r="C10" s="120"/>
      <c r="D10" s="120"/>
      <c r="E10" s="120"/>
      <c r="F10" s="120"/>
      <c r="G10" s="120"/>
      <c r="H10" s="120"/>
      <c r="I10" s="44" t="s">
        <v>138</v>
      </c>
      <c r="J10" s="44" t="s">
        <v>139</v>
      </c>
      <c r="K10" s="44" t="s">
        <v>140</v>
      </c>
      <c r="L10" s="120"/>
      <c r="M10" s="120"/>
      <c r="N10" s="44" t="s">
        <v>65</v>
      </c>
      <c r="O10" s="44" t="s">
        <v>142</v>
      </c>
      <c r="P10" s="44" t="s">
        <v>138</v>
      </c>
      <c r="Q10" s="44" t="s">
        <v>139</v>
      </c>
      <c r="R10" s="44" t="s">
        <v>140</v>
      </c>
      <c r="S10" s="8"/>
    </row>
    <row r="11" spans="2:21" ht="15">
      <c r="B11" s="7"/>
      <c r="C11" s="14">
        <v>1</v>
      </c>
      <c r="D11" s="71" t="str">
        <f>'Себестоимость 1 машино-часа'!D10</f>
        <v>Ford F-150 5,4i</v>
      </c>
      <c r="E11" s="41" t="str">
        <f>'Себестоимость 1 машино-часа'!E10</f>
        <v>221 kW, 4АКПП</v>
      </c>
      <c r="F11" s="41" t="str">
        <f>'Себестоимость 1 машино-часа'!F10</f>
        <v>6765 АА-5</v>
      </c>
      <c r="G11" s="41" t="str">
        <f>'Себестоимость 1 машино-часа'!G10</f>
        <v>Трансп. цех</v>
      </c>
      <c r="H11" s="72">
        <v>89960</v>
      </c>
      <c r="I11" s="72">
        <v>101.3</v>
      </c>
      <c r="J11" s="72">
        <v>67570</v>
      </c>
      <c r="K11" s="72">
        <v>3.55</v>
      </c>
      <c r="L11" s="74">
        <f>'ЗП водителей'!$G$10</f>
        <v>1296</v>
      </c>
      <c r="M11" s="53">
        <f>топливо!R11</f>
        <v>548.17</v>
      </c>
      <c r="N11" s="107">
        <v>1</v>
      </c>
      <c r="O11" s="79">
        <f>$I$43</f>
        <v>1.144</v>
      </c>
      <c r="P11" s="53">
        <f>ROUND(I11/1000*L11*N11,0)</f>
        <v>131</v>
      </c>
      <c r="Q11" s="53">
        <f>ROUND(J11/1000*N11*O11,0)</f>
        <v>77</v>
      </c>
      <c r="R11" s="16">
        <f>ROUND(M11*K11/100,0)</f>
        <v>19</v>
      </c>
      <c r="S11" s="8"/>
      <c r="U11" s="103" t="s">
        <v>443</v>
      </c>
    </row>
    <row r="12" spans="2:21" ht="15">
      <c r="B12" s="7"/>
      <c r="C12" s="14">
        <f>C11+1</f>
        <v>2</v>
      </c>
      <c r="D12" s="71" t="str">
        <f>'Себестоимость 1 машино-часа'!D11</f>
        <v>Fiat Doblo 1,9JTD</v>
      </c>
      <c r="E12" s="41" t="str">
        <f>'Себестоимость 1 машино-часа'!E11</f>
        <v>77 kW</v>
      </c>
      <c r="F12" s="41" t="str">
        <f>'Себестоимость 1 машино-часа'!F11</f>
        <v>5642 ВВ-5</v>
      </c>
      <c r="G12" s="41" t="str">
        <f>'Себестоимость 1 машино-часа'!G11</f>
        <v>Трансп. цех</v>
      </c>
      <c r="H12" s="72">
        <v>231934</v>
      </c>
      <c r="I12" s="72">
        <v>146.7</v>
      </c>
      <c r="J12" s="72">
        <v>53696</v>
      </c>
      <c r="K12" s="72">
        <v>4.61</v>
      </c>
      <c r="L12" s="74">
        <f>'ЗП водителей'!$G$10</f>
        <v>1296</v>
      </c>
      <c r="M12" s="53">
        <f>топливо!R12</f>
        <v>172.86</v>
      </c>
      <c r="N12" s="107">
        <v>1</v>
      </c>
      <c r="O12" s="79">
        <f aca="true" t="shared" si="0" ref="O12:O31">$I$43</f>
        <v>1.144</v>
      </c>
      <c r="P12" s="53">
        <f aca="true" t="shared" si="1" ref="P12:P31">ROUND(I12/1000*L12*N12,0)</f>
        <v>190</v>
      </c>
      <c r="Q12" s="53">
        <f aca="true" t="shared" si="2" ref="Q12:Q31">ROUND(J12/1000*N12*O12,0)</f>
        <v>61</v>
      </c>
      <c r="R12" s="16">
        <f aca="true" t="shared" si="3" ref="R12:R31">ROUND(M12*K12/100,0)</f>
        <v>8</v>
      </c>
      <c r="S12" s="8"/>
      <c r="U12" s="103" t="s">
        <v>444</v>
      </c>
    </row>
    <row r="13" spans="2:21" ht="15">
      <c r="B13" s="7"/>
      <c r="C13" s="14">
        <f aca="true" t="shared" si="4" ref="C13:C31">C12+1</f>
        <v>3</v>
      </c>
      <c r="D13" s="71" t="str">
        <f>'Себестоимость 1 машино-часа'!D12</f>
        <v>Mercedes Benz Vito 108  2,1CDi</v>
      </c>
      <c r="E13" s="41" t="str">
        <f>'Себестоимость 1 машино-часа'!E12</f>
        <v>58 kW</v>
      </c>
      <c r="F13" s="41" t="str">
        <f>'Себестоимость 1 машино-часа'!F12</f>
        <v>4455 EA-5</v>
      </c>
      <c r="G13" s="41" t="str">
        <f>'Себестоимость 1 машино-часа'!G12</f>
        <v>Трансп. цех</v>
      </c>
      <c r="H13" s="72">
        <v>217497</v>
      </c>
      <c r="I13" s="72">
        <v>146.7</v>
      </c>
      <c r="J13" s="72">
        <v>53696</v>
      </c>
      <c r="K13" s="72">
        <v>4.61</v>
      </c>
      <c r="L13" s="74">
        <f>'ЗП водителей'!$G$10</f>
        <v>1296</v>
      </c>
      <c r="M13" s="53">
        <f>топливо!R13</f>
        <v>273.48</v>
      </c>
      <c r="N13" s="107">
        <v>1</v>
      </c>
      <c r="O13" s="79">
        <f t="shared" si="0"/>
        <v>1.144</v>
      </c>
      <c r="P13" s="53">
        <f t="shared" si="1"/>
        <v>190</v>
      </c>
      <c r="Q13" s="53">
        <f t="shared" si="2"/>
        <v>61</v>
      </c>
      <c r="R13" s="16">
        <f t="shared" si="3"/>
        <v>13</v>
      </c>
      <c r="S13" s="8"/>
      <c r="U13" s="103" t="s">
        <v>446</v>
      </c>
    </row>
    <row r="14" spans="2:21" ht="15">
      <c r="B14" s="7"/>
      <c r="C14" s="14">
        <f t="shared" si="4"/>
        <v>4</v>
      </c>
      <c r="D14" s="71" t="str">
        <f>'Себестоимость 1 машино-часа'!D13</f>
        <v>Renault Kangoo 1,9D</v>
      </c>
      <c r="E14" s="41" t="str">
        <f>'Себестоимость 1 машино-часа'!E13</f>
        <v>47 kW</v>
      </c>
      <c r="F14" s="41" t="str">
        <f>'Себестоимость 1 машино-часа'!F13</f>
        <v>4785 AX-5</v>
      </c>
      <c r="G14" s="41" t="str">
        <f>'Себестоимость 1 машино-часа'!G13</f>
        <v>Трансп. цех</v>
      </c>
      <c r="H14" s="72">
        <v>319527</v>
      </c>
      <c r="I14" s="72">
        <v>179.8</v>
      </c>
      <c r="J14" s="72">
        <v>73619</v>
      </c>
      <c r="K14" s="72">
        <v>5.03</v>
      </c>
      <c r="L14" s="74">
        <f>'ЗП водителей'!$G$10</f>
        <v>1296</v>
      </c>
      <c r="M14" s="53">
        <f>топливо!R14</f>
        <v>185.76000000000002</v>
      </c>
      <c r="N14" s="107">
        <v>1</v>
      </c>
      <c r="O14" s="79">
        <f t="shared" si="0"/>
        <v>1.144</v>
      </c>
      <c r="P14" s="53">
        <f t="shared" si="1"/>
        <v>233</v>
      </c>
      <c r="Q14" s="53">
        <f t="shared" si="2"/>
        <v>84</v>
      </c>
      <c r="R14" s="16">
        <f t="shared" si="3"/>
        <v>9</v>
      </c>
      <c r="S14" s="8"/>
      <c r="U14" s="103" t="s">
        <v>447</v>
      </c>
    </row>
    <row r="15" spans="2:21" ht="15">
      <c r="B15" s="7"/>
      <c r="C15" s="14">
        <f t="shared" si="4"/>
        <v>5</v>
      </c>
      <c r="D15" s="71" t="str">
        <f>'Себестоимость 1 машино-часа'!D14</f>
        <v>ГАЗ-27527</v>
      </c>
      <c r="E15" s="41" t="str">
        <f>'Себестоимость 1 машино-часа'!E14</f>
        <v>ЗМЗ-40522R</v>
      </c>
      <c r="F15" s="41" t="str">
        <f>'Себестоимость 1 машино-часа'!F14</f>
        <v>2210 KK-5</v>
      </c>
      <c r="G15" s="41" t="str">
        <f>'Себестоимость 1 машино-часа'!G14</f>
        <v>Трансп. цех</v>
      </c>
      <c r="H15" s="72">
        <v>166137</v>
      </c>
      <c r="I15" s="72">
        <v>186.5</v>
      </c>
      <c r="J15" s="72">
        <v>74014</v>
      </c>
      <c r="K15" s="72">
        <v>4.65</v>
      </c>
      <c r="L15" s="74">
        <f>'ЗП водителей'!$G$10</f>
        <v>1296</v>
      </c>
      <c r="M15" s="53">
        <f>топливо!R15</f>
        <v>319.49999999999994</v>
      </c>
      <c r="N15" s="107">
        <v>1</v>
      </c>
      <c r="O15" s="79">
        <f t="shared" si="0"/>
        <v>1.144</v>
      </c>
      <c r="P15" s="53">
        <f t="shared" si="1"/>
        <v>242</v>
      </c>
      <c r="Q15" s="53">
        <f t="shared" si="2"/>
        <v>85</v>
      </c>
      <c r="R15" s="16">
        <f t="shared" si="3"/>
        <v>15</v>
      </c>
      <c r="S15" s="8"/>
      <c r="U15" s="103" t="s">
        <v>448</v>
      </c>
    </row>
    <row r="16" spans="2:21" ht="15">
      <c r="B16" s="7"/>
      <c r="C16" s="14">
        <f t="shared" si="4"/>
        <v>6</v>
      </c>
      <c r="D16" s="71">
        <f>'Себестоимость 1 машино-часа'!D15</f>
        <v>0</v>
      </c>
      <c r="E16" s="41">
        <f>'Себестоимость 1 машино-часа'!E15</f>
        <v>0</v>
      </c>
      <c r="F16" s="41">
        <f>'Себестоимость 1 машино-часа'!F15</f>
        <v>0</v>
      </c>
      <c r="G16" s="41">
        <f>'Себестоимость 1 машино-часа'!G15</f>
        <v>0</v>
      </c>
      <c r="H16" s="72"/>
      <c r="I16" s="16"/>
      <c r="J16" s="16"/>
      <c r="K16" s="16"/>
      <c r="L16" s="74">
        <f>'ЗП водителей'!$G$10</f>
        <v>1296</v>
      </c>
      <c r="M16" s="53">
        <f>топливо!R16</f>
        <v>0</v>
      </c>
      <c r="N16" s="107">
        <v>1</v>
      </c>
      <c r="O16" s="79">
        <f t="shared" si="0"/>
        <v>1.144</v>
      </c>
      <c r="P16" s="53">
        <f t="shared" si="1"/>
        <v>0</v>
      </c>
      <c r="Q16" s="53">
        <f t="shared" si="2"/>
        <v>0</v>
      </c>
      <c r="R16" s="16">
        <f t="shared" si="3"/>
        <v>0</v>
      </c>
      <c r="S16" s="8"/>
      <c r="U16" s="103" t="s">
        <v>449</v>
      </c>
    </row>
    <row r="17" spans="2:19" ht="10.5">
      <c r="B17" s="7"/>
      <c r="C17" s="14">
        <f t="shared" si="4"/>
        <v>7</v>
      </c>
      <c r="D17" s="71">
        <f>'Себестоимость 1 машино-часа'!D16</f>
        <v>0</v>
      </c>
      <c r="E17" s="41">
        <f>'Себестоимость 1 машино-часа'!E16</f>
        <v>0</v>
      </c>
      <c r="F17" s="41">
        <f>'Себестоимость 1 машино-часа'!F16</f>
        <v>0</v>
      </c>
      <c r="G17" s="41">
        <f>'Себестоимость 1 машино-часа'!G16</f>
        <v>0</v>
      </c>
      <c r="H17" s="72"/>
      <c r="I17" s="16"/>
      <c r="J17" s="16"/>
      <c r="K17" s="16"/>
      <c r="L17" s="74">
        <f>'ЗП водителей'!$G$10</f>
        <v>1296</v>
      </c>
      <c r="M17" s="53">
        <f>топливо!R17</f>
        <v>0</v>
      </c>
      <c r="N17" s="107">
        <v>1</v>
      </c>
      <c r="O17" s="79">
        <f t="shared" si="0"/>
        <v>1.144</v>
      </c>
      <c r="P17" s="53">
        <f t="shared" si="1"/>
        <v>0</v>
      </c>
      <c r="Q17" s="53">
        <f t="shared" si="2"/>
        <v>0</v>
      </c>
      <c r="R17" s="16">
        <f t="shared" si="3"/>
        <v>0</v>
      </c>
      <c r="S17" s="8"/>
    </row>
    <row r="18" spans="2:19" ht="10.5">
      <c r="B18" s="7"/>
      <c r="C18" s="14">
        <f t="shared" si="4"/>
        <v>8</v>
      </c>
      <c r="D18" s="71">
        <f>'Себестоимость 1 машино-часа'!D17</f>
        <v>0</v>
      </c>
      <c r="E18" s="41">
        <f>'Себестоимость 1 машино-часа'!E17</f>
        <v>0</v>
      </c>
      <c r="F18" s="41">
        <f>'Себестоимость 1 машино-часа'!F17</f>
        <v>0</v>
      </c>
      <c r="G18" s="41">
        <f>'Себестоимость 1 машино-часа'!G17</f>
        <v>0</v>
      </c>
      <c r="H18" s="72"/>
      <c r="I18" s="16"/>
      <c r="J18" s="16"/>
      <c r="K18" s="16"/>
      <c r="L18" s="74">
        <f>'ЗП водителей'!$G$10</f>
        <v>1296</v>
      </c>
      <c r="M18" s="53">
        <f>топливо!R18</f>
        <v>0</v>
      </c>
      <c r="N18" s="107">
        <v>1</v>
      </c>
      <c r="O18" s="79">
        <f t="shared" si="0"/>
        <v>1.144</v>
      </c>
      <c r="P18" s="53">
        <f t="shared" si="1"/>
        <v>0</v>
      </c>
      <c r="Q18" s="53">
        <f t="shared" si="2"/>
        <v>0</v>
      </c>
      <c r="R18" s="16">
        <f t="shared" si="3"/>
        <v>0</v>
      </c>
      <c r="S18" s="8"/>
    </row>
    <row r="19" spans="2:21" ht="15">
      <c r="B19" s="7"/>
      <c r="C19" s="14">
        <f t="shared" si="4"/>
        <v>9</v>
      </c>
      <c r="D19" s="71">
        <f>'Себестоимость 1 машино-часа'!D18</f>
        <v>0</v>
      </c>
      <c r="E19" s="41">
        <f>'Себестоимость 1 машино-часа'!E18</f>
        <v>0</v>
      </c>
      <c r="F19" s="41">
        <f>'Себестоимость 1 машино-часа'!F18</f>
        <v>0</v>
      </c>
      <c r="G19" s="41">
        <f>'Себестоимость 1 машино-часа'!G18</f>
        <v>0</v>
      </c>
      <c r="H19" s="72"/>
      <c r="I19" s="16"/>
      <c r="J19" s="16"/>
      <c r="K19" s="16"/>
      <c r="L19" s="74">
        <f>'ЗП водителей'!$G$10</f>
        <v>1296</v>
      </c>
      <c r="M19" s="53">
        <f>топливо!R19</f>
        <v>0</v>
      </c>
      <c r="N19" s="107">
        <v>1</v>
      </c>
      <c r="O19" s="79">
        <f t="shared" si="0"/>
        <v>1.144</v>
      </c>
      <c r="P19" s="53">
        <f t="shared" si="1"/>
        <v>0</v>
      </c>
      <c r="Q19" s="53">
        <f t="shared" si="2"/>
        <v>0</v>
      </c>
      <c r="R19" s="16">
        <f t="shared" si="3"/>
        <v>0</v>
      </c>
      <c r="S19" s="8"/>
      <c r="U19" s="103" t="s">
        <v>450</v>
      </c>
    </row>
    <row r="20" spans="2:21" ht="15">
      <c r="B20" s="7"/>
      <c r="C20" s="14">
        <f t="shared" si="4"/>
        <v>10</v>
      </c>
      <c r="D20" s="71">
        <f>'Себестоимость 1 машино-часа'!D19</f>
        <v>0</v>
      </c>
      <c r="E20" s="41">
        <f>'Себестоимость 1 машино-часа'!E19</f>
        <v>0</v>
      </c>
      <c r="F20" s="41">
        <f>'Себестоимость 1 машино-часа'!F19</f>
        <v>0</v>
      </c>
      <c r="G20" s="41">
        <f>'Себестоимость 1 машино-часа'!G19</f>
        <v>0</v>
      </c>
      <c r="H20" s="72"/>
      <c r="I20" s="16"/>
      <c r="J20" s="16"/>
      <c r="K20" s="16"/>
      <c r="L20" s="74">
        <f>'ЗП водителей'!$G$10</f>
        <v>1296</v>
      </c>
      <c r="M20" s="53">
        <f>топливо!R20</f>
        <v>0</v>
      </c>
      <c r="N20" s="107">
        <v>1</v>
      </c>
      <c r="O20" s="79">
        <f t="shared" si="0"/>
        <v>1.144</v>
      </c>
      <c r="P20" s="53">
        <f t="shared" si="1"/>
        <v>0</v>
      </c>
      <c r="Q20" s="53">
        <f t="shared" si="2"/>
        <v>0</v>
      </c>
      <c r="R20" s="16">
        <f t="shared" si="3"/>
        <v>0</v>
      </c>
      <c r="S20" s="8"/>
      <c r="U20" s="103" t="s">
        <v>410</v>
      </c>
    </row>
    <row r="21" spans="2:19" ht="10.5">
      <c r="B21" s="7"/>
      <c r="C21" s="14">
        <f t="shared" si="4"/>
        <v>11</v>
      </c>
      <c r="D21" s="71">
        <f>'Себестоимость 1 машино-часа'!D20</f>
        <v>0</v>
      </c>
      <c r="E21" s="41">
        <f>'Себестоимость 1 машино-часа'!E20</f>
        <v>0</v>
      </c>
      <c r="F21" s="41">
        <f>'Себестоимость 1 машино-часа'!F20</f>
        <v>0</v>
      </c>
      <c r="G21" s="41">
        <f>'Себестоимость 1 машино-часа'!G20</f>
        <v>0</v>
      </c>
      <c r="H21" s="72"/>
      <c r="I21" s="16"/>
      <c r="J21" s="16"/>
      <c r="K21" s="16"/>
      <c r="L21" s="74">
        <f>'ЗП водителей'!$G$10</f>
        <v>1296</v>
      </c>
      <c r="M21" s="53">
        <f>топливо!R21</f>
        <v>0</v>
      </c>
      <c r="N21" s="107">
        <v>1</v>
      </c>
      <c r="O21" s="79">
        <f t="shared" si="0"/>
        <v>1.144</v>
      </c>
      <c r="P21" s="53">
        <f t="shared" si="1"/>
        <v>0</v>
      </c>
      <c r="Q21" s="53">
        <f t="shared" si="2"/>
        <v>0</v>
      </c>
      <c r="R21" s="16">
        <f t="shared" si="3"/>
        <v>0</v>
      </c>
      <c r="S21" s="8"/>
    </row>
    <row r="22" spans="2:19" ht="10.5">
      <c r="B22" s="7"/>
      <c r="C22" s="14">
        <f t="shared" si="4"/>
        <v>12</v>
      </c>
      <c r="D22" s="71">
        <f>'Себестоимость 1 машино-часа'!D21</f>
        <v>0</v>
      </c>
      <c r="E22" s="41">
        <f>'Себестоимость 1 машино-часа'!E21</f>
        <v>0</v>
      </c>
      <c r="F22" s="41">
        <f>'Себестоимость 1 машино-часа'!F21</f>
        <v>0</v>
      </c>
      <c r="G22" s="41">
        <f>'Себестоимость 1 машино-часа'!G21</f>
        <v>0</v>
      </c>
      <c r="H22" s="72"/>
      <c r="I22" s="16"/>
      <c r="J22" s="16"/>
      <c r="K22" s="16"/>
      <c r="L22" s="74">
        <f>'ЗП водителей'!$G$10</f>
        <v>1296</v>
      </c>
      <c r="M22" s="53">
        <f>топливо!R22</f>
        <v>0</v>
      </c>
      <c r="N22" s="107">
        <v>1</v>
      </c>
      <c r="O22" s="79">
        <f t="shared" si="0"/>
        <v>1.144</v>
      </c>
      <c r="P22" s="53">
        <f t="shared" si="1"/>
        <v>0</v>
      </c>
      <c r="Q22" s="53">
        <f t="shared" si="2"/>
        <v>0</v>
      </c>
      <c r="R22" s="16">
        <f t="shared" si="3"/>
        <v>0</v>
      </c>
      <c r="S22" s="8"/>
    </row>
    <row r="23" spans="2:19" ht="10.5">
      <c r="B23" s="7"/>
      <c r="C23" s="14">
        <f t="shared" si="4"/>
        <v>13</v>
      </c>
      <c r="D23" s="71">
        <f>'Себестоимость 1 машино-часа'!D22</f>
        <v>0</v>
      </c>
      <c r="E23" s="41">
        <f>'Себестоимость 1 машино-часа'!E22</f>
        <v>0</v>
      </c>
      <c r="F23" s="41">
        <f>'Себестоимость 1 машино-часа'!F22</f>
        <v>0</v>
      </c>
      <c r="G23" s="41">
        <f>'Себестоимость 1 машино-часа'!G22</f>
        <v>0</v>
      </c>
      <c r="H23" s="72"/>
      <c r="I23" s="16"/>
      <c r="J23" s="16"/>
      <c r="K23" s="16"/>
      <c r="L23" s="74">
        <f>'ЗП водителей'!$G$10</f>
        <v>1296</v>
      </c>
      <c r="M23" s="53">
        <f>топливо!R23</f>
        <v>0</v>
      </c>
      <c r="N23" s="107">
        <v>1</v>
      </c>
      <c r="O23" s="79">
        <f t="shared" si="0"/>
        <v>1.144</v>
      </c>
      <c r="P23" s="53">
        <f t="shared" si="1"/>
        <v>0</v>
      </c>
      <c r="Q23" s="53">
        <f t="shared" si="2"/>
        <v>0</v>
      </c>
      <c r="R23" s="16">
        <f t="shared" si="3"/>
        <v>0</v>
      </c>
      <c r="S23" s="8"/>
    </row>
    <row r="24" spans="2:19" ht="10.5">
      <c r="B24" s="7"/>
      <c r="C24" s="14">
        <f t="shared" si="4"/>
        <v>14</v>
      </c>
      <c r="D24" s="71">
        <f>'Себестоимость 1 машино-часа'!D23</f>
        <v>0</v>
      </c>
      <c r="E24" s="41">
        <f>'Себестоимость 1 машино-часа'!E23</f>
        <v>0</v>
      </c>
      <c r="F24" s="41">
        <f>'Себестоимость 1 машино-часа'!F23</f>
        <v>0</v>
      </c>
      <c r="G24" s="41">
        <f>'Себестоимость 1 машино-часа'!G23</f>
        <v>0</v>
      </c>
      <c r="H24" s="72"/>
      <c r="I24" s="16"/>
      <c r="J24" s="16"/>
      <c r="K24" s="16"/>
      <c r="L24" s="74">
        <f>'ЗП водителей'!$G$10</f>
        <v>1296</v>
      </c>
      <c r="M24" s="53">
        <f>топливо!R24</f>
        <v>0</v>
      </c>
      <c r="N24" s="107">
        <v>1</v>
      </c>
      <c r="O24" s="79">
        <f t="shared" si="0"/>
        <v>1.144</v>
      </c>
      <c r="P24" s="53">
        <f t="shared" si="1"/>
        <v>0</v>
      </c>
      <c r="Q24" s="53">
        <f t="shared" si="2"/>
        <v>0</v>
      </c>
      <c r="R24" s="16">
        <f t="shared" si="3"/>
        <v>0</v>
      </c>
      <c r="S24" s="8"/>
    </row>
    <row r="25" spans="2:19" ht="10.5">
      <c r="B25" s="7"/>
      <c r="C25" s="14">
        <f t="shared" si="4"/>
        <v>15</v>
      </c>
      <c r="D25" s="71">
        <f>'Себестоимость 1 машино-часа'!D24</f>
        <v>0</v>
      </c>
      <c r="E25" s="41">
        <f>'Себестоимость 1 машино-часа'!E24</f>
        <v>0</v>
      </c>
      <c r="F25" s="41">
        <f>'Себестоимость 1 машино-часа'!F24</f>
        <v>0</v>
      </c>
      <c r="G25" s="41">
        <f>'Себестоимость 1 машино-часа'!G24</f>
        <v>0</v>
      </c>
      <c r="H25" s="72"/>
      <c r="I25" s="16"/>
      <c r="J25" s="16"/>
      <c r="K25" s="16"/>
      <c r="L25" s="74">
        <f>'ЗП водителей'!$G$10</f>
        <v>1296</v>
      </c>
      <c r="M25" s="53">
        <f>топливо!R25</f>
        <v>0</v>
      </c>
      <c r="N25" s="107">
        <v>1</v>
      </c>
      <c r="O25" s="79">
        <f t="shared" si="0"/>
        <v>1.144</v>
      </c>
      <c r="P25" s="53">
        <f t="shared" si="1"/>
        <v>0</v>
      </c>
      <c r="Q25" s="53">
        <f t="shared" si="2"/>
        <v>0</v>
      </c>
      <c r="R25" s="16">
        <f t="shared" si="3"/>
        <v>0</v>
      </c>
      <c r="S25" s="8"/>
    </row>
    <row r="26" spans="2:19" ht="10.5">
      <c r="B26" s="7"/>
      <c r="C26" s="14">
        <f t="shared" si="4"/>
        <v>16</v>
      </c>
      <c r="D26" s="71">
        <f>'Себестоимость 1 машино-часа'!D25</f>
        <v>0</v>
      </c>
      <c r="E26" s="41">
        <f>'Себестоимость 1 машино-часа'!E25</f>
        <v>0</v>
      </c>
      <c r="F26" s="41">
        <f>'Себестоимость 1 машино-часа'!F25</f>
        <v>0</v>
      </c>
      <c r="G26" s="41">
        <f>'Себестоимость 1 машино-часа'!G25</f>
        <v>0</v>
      </c>
      <c r="H26" s="72"/>
      <c r="I26" s="16"/>
      <c r="J26" s="16"/>
      <c r="K26" s="16"/>
      <c r="L26" s="74">
        <f>'ЗП водителей'!$G$10</f>
        <v>1296</v>
      </c>
      <c r="M26" s="53">
        <f>топливо!R26</f>
        <v>0</v>
      </c>
      <c r="N26" s="107">
        <v>1</v>
      </c>
      <c r="O26" s="79">
        <f t="shared" si="0"/>
        <v>1.144</v>
      </c>
      <c r="P26" s="53">
        <f t="shared" si="1"/>
        <v>0</v>
      </c>
      <c r="Q26" s="53">
        <f t="shared" si="2"/>
        <v>0</v>
      </c>
      <c r="R26" s="16">
        <f t="shared" si="3"/>
        <v>0</v>
      </c>
      <c r="S26" s="8"/>
    </row>
    <row r="27" spans="2:19" ht="10.5">
      <c r="B27" s="7"/>
      <c r="C27" s="14">
        <f t="shared" si="4"/>
        <v>17</v>
      </c>
      <c r="D27" s="71">
        <f>'Себестоимость 1 машино-часа'!D26</f>
        <v>0</v>
      </c>
      <c r="E27" s="41">
        <f>'Себестоимость 1 машино-часа'!E26</f>
        <v>0</v>
      </c>
      <c r="F27" s="41">
        <f>'Себестоимость 1 машино-часа'!F26</f>
        <v>0</v>
      </c>
      <c r="G27" s="41">
        <f>'Себестоимость 1 машино-часа'!G26</f>
        <v>0</v>
      </c>
      <c r="H27" s="72"/>
      <c r="I27" s="16"/>
      <c r="J27" s="16"/>
      <c r="K27" s="16"/>
      <c r="L27" s="74">
        <f>'ЗП водителей'!$G$10</f>
        <v>1296</v>
      </c>
      <c r="M27" s="53">
        <f>топливо!R27</f>
        <v>0</v>
      </c>
      <c r="N27" s="107">
        <v>1</v>
      </c>
      <c r="O27" s="79">
        <f t="shared" si="0"/>
        <v>1.144</v>
      </c>
      <c r="P27" s="53">
        <f t="shared" si="1"/>
        <v>0</v>
      </c>
      <c r="Q27" s="53">
        <f t="shared" si="2"/>
        <v>0</v>
      </c>
      <c r="R27" s="16">
        <f t="shared" si="3"/>
        <v>0</v>
      </c>
      <c r="S27" s="8"/>
    </row>
    <row r="28" spans="2:19" ht="10.5">
      <c r="B28" s="7"/>
      <c r="C28" s="14">
        <f t="shared" si="4"/>
        <v>18</v>
      </c>
      <c r="D28" s="71">
        <f>'Себестоимость 1 машино-часа'!D27</f>
        <v>0</v>
      </c>
      <c r="E28" s="41">
        <f>'Себестоимость 1 машино-часа'!E27</f>
        <v>0</v>
      </c>
      <c r="F28" s="41">
        <f>'Себестоимость 1 машино-часа'!F27</f>
        <v>0</v>
      </c>
      <c r="G28" s="41">
        <f>'Себестоимость 1 машино-часа'!G27</f>
        <v>0</v>
      </c>
      <c r="H28" s="72"/>
      <c r="I28" s="16"/>
      <c r="J28" s="16"/>
      <c r="K28" s="16"/>
      <c r="L28" s="74">
        <f>'ЗП водителей'!$G$10</f>
        <v>1296</v>
      </c>
      <c r="M28" s="53">
        <f>топливо!R28</f>
        <v>0</v>
      </c>
      <c r="N28" s="107">
        <v>1</v>
      </c>
      <c r="O28" s="79">
        <f t="shared" si="0"/>
        <v>1.144</v>
      </c>
      <c r="P28" s="53">
        <f t="shared" si="1"/>
        <v>0</v>
      </c>
      <c r="Q28" s="53">
        <f t="shared" si="2"/>
        <v>0</v>
      </c>
      <c r="R28" s="16">
        <f t="shared" si="3"/>
        <v>0</v>
      </c>
      <c r="S28" s="8"/>
    </row>
    <row r="29" spans="2:19" ht="10.5">
      <c r="B29" s="7"/>
      <c r="C29" s="14">
        <f t="shared" si="4"/>
        <v>19</v>
      </c>
      <c r="D29" s="71">
        <f>'Себестоимость 1 машино-часа'!D28</f>
        <v>0</v>
      </c>
      <c r="E29" s="41">
        <f>'Себестоимость 1 машино-часа'!E28</f>
        <v>0</v>
      </c>
      <c r="F29" s="41">
        <f>'Себестоимость 1 машино-часа'!F28</f>
        <v>0</v>
      </c>
      <c r="G29" s="41">
        <f>'Себестоимость 1 машино-часа'!G28</f>
        <v>0</v>
      </c>
      <c r="H29" s="72"/>
      <c r="I29" s="16"/>
      <c r="J29" s="16"/>
      <c r="K29" s="16"/>
      <c r="L29" s="74">
        <f>'ЗП водителей'!$G$10</f>
        <v>1296</v>
      </c>
      <c r="M29" s="53">
        <f>топливо!R29</f>
        <v>0</v>
      </c>
      <c r="N29" s="107">
        <v>1</v>
      </c>
      <c r="O29" s="79">
        <f t="shared" si="0"/>
        <v>1.144</v>
      </c>
      <c r="P29" s="53">
        <f t="shared" si="1"/>
        <v>0</v>
      </c>
      <c r="Q29" s="53">
        <f t="shared" si="2"/>
        <v>0</v>
      </c>
      <c r="R29" s="16">
        <f t="shared" si="3"/>
        <v>0</v>
      </c>
      <c r="S29" s="8"/>
    </row>
    <row r="30" spans="2:19" ht="10.5">
      <c r="B30" s="7"/>
      <c r="C30" s="14">
        <f t="shared" si="4"/>
        <v>20</v>
      </c>
      <c r="D30" s="71">
        <f>'Себестоимость 1 машино-часа'!D29</f>
        <v>0</v>
      </c>
      <c r="E30" s="41">
        <f>'Себестоимость 1 машино-часа'!E29</f>
        <v>0</v>
      </c>
      <c r="F30" s="41">
        <f>'Себестоимость 1 машино-часа'!F29</f>
        <v>0</v>
      </c>
      <c r="G30" s="41">
        <f>'Себестоимость 1 машино-часа'!G29</f>
        <v>0</v>
      </c>
      <c r="H30" s="72"/>
      <c r="I30" s="16"/>
      <c r="J30" s="16"/>
      <c r="K30" s="16"/>
      <c r="L30" s="74">
        <f>'ЗП водителей'!$G$10</f>
        <v>1296</v>
      </c>
      <c r="M30" s="53">
        <f>топливо!R30</f>
        <v>0</v>
      </c>
      <c r="N30" s="107">
        <v>1</v>
      </c>
      <c r="O30" s="79">
        <f t="shared" si="0"/>
        <v>1.144</v>
      </c>
      <c r="P30" s="53">
        <f t="shared" si="1"/>
        <v>0</v>
      </c>
      <c r="Q30" s="53">
        <f t="shared" si="2"/>
        <v>0</v>
      </c>
      <c r="R30" s="16">
        <f t="shared" si="3"/>
        <v>0</v>
      </c>
      <c r="S30" s="8"/>
    </row>
    <row r="31" spans="2:19" ht="10.5">
      <c r="B31" s="7"/>
      <c r="C31" s="14">
        <f t="shared" si="4"/>
        <v>21</v>
      </c>
      <c r="D31" s="71">
        <f>'Себестоимость 1 машино-часа'!D30</f>
        <v>0</v>
      </c>
      <c r="E31" s="41">
        <f>'Себестоимость 1 машино-часа'!E30</f>
        <v>0</v>
      </c>
      <c r="F31" s="41">
        <f>'Себестоимость 1 машино-часа'!F30</f>
        <v>0</v>
      </c>
      <c r="G31" s="41">
        <f>'Себестоимость 1 машино-часа'!G30</f>
        <v>0</v>
      </c>
      <c r="H31" s="72"/>
      <c r="I31" s="16"/>
      <c r="J31" s="16"/>
      <c r="K31" s="16"/>
      <c r="L31" s="74">
        <f>'ЗП водителей'!$G$10</f>
        <v>1296</v>
      </c>
      <c r="M31" s="53">
        <f>топливо!R31</f>
        <v>0</v>
      </c>
      <c r="N31" s="107">
        <v>1</v>
      </c>
      <c r="O31" s="79">
        <f t="shared" si="0"/>
        <v>1.144</v>
      </c>
      <c r="P31" s="53">
        <f t="shared" si="1"/>
        <v>0</v>
      </c>
      <c r="Q31" s="53">
        <f t="shared" si="2"/>
        <v>0</v>
      </c>
      <c r="R31" s="16">
        <f t="shared" si="3"/>
        <v>0</v>
      </c>
      <c r="S31" s="8"/>
    </row>
    <row r="32" spans="2:19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8"/>
    </row>
    <row r="33" spans="2:59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</row>
    <row r="34" spans="23:59" ht="10.5"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30"/>
      <c r="AX34" s="29"/>
      <c r="AY34" s="29"/>
      <c r="AZ34" s="29"/>
      <c r="BA34" s="29"/>
      <c r="BB34" s="29"/>
      <c r="BC34" s="29"/>
      <c r="BD34" s="29"/>
      <c r="BE34" s="29"/>
      <c r="BF34" s="29"/>
      <c r="BG34" s="29"/>
    </row>
    <row r="35" spans="23:59" ht="10.5">
      <c r="W35" s="24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0"/>
      <c r="AS35" s="30"/>
      <c r="AT35" s="30"/>
      <c r="AU35" s="30"/>
      <c r="AV35" s="30"/>
      <c r="AW35" s="30"/>
      <c r="AX35" s="29"/>
      <c r="AY35" s="29"/>
      <c r="AZ35" s="29"/>
      <c r="BA35" s="29"/>
      <c r="BB35" s="29"/>
      <c r="BC35" s="29"/>
      <c r="BD35" s="29"/>
      <c r="BE35" s="29"/>
      <c r="BF35" s="29"/>
      <c r="BG35" s="29"/>
    </row>
    <row r="36" spans="3:59" ht="25.5" customHeight="1">
      <c r="C36" s="31"/>
      <c r="D36" s="129" t="s">
        <v>143</v>
      </c>
      <c r="E36" s="129"/>
      <c r="F36" s="129"/>
      <c r="G36" s="129"/>
      <c r="H36" s="129"/>
      <c r="I36" s="129"/>
      <c r="N36" s="1" t="s">
        <v>151</v>
      </c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29"/>
      <c r="BF36" s="29"/>
      <c r="BG36" s="29"/>
    </row>
    <row r="37" spans="3:59" ht="10.5">
      <c r="C37" s="31"/>
      <c r="D37" s="127" t="s">
        <v>144</v>
      </c>
      <c r="E37" s="127"/>
      <c r="F37" s="127"/>
      <c r="G37" s="127"/>
      <c r="H37" s="127"/>
      <c r="I37" s="76">
        <v>1</v>
      </c>
      <c r="U37" s="23"/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AS37" s="30"/>
      <c r="AT37" s="30"/>
      <c r="AU37" s="30"/>
      <c r="AV37" s="30"/>
      <c r="AW37" s="30"/>
      <c r="AX37" s="29"/>
      <c r="AY37" s="29"/>
      <c r="AZ37" s="29"/>
      <c r="BA37" s="29"/>
      <c r="BB37" s="29"/>
      <c r="BC37" s="29"/>
      <c r="BD37" s="29"/>
      <c r="BE37" s="29"/>
      <c r="BF37" s="29"/>
      <c r="BG37" s="29"/>
    </row>
    <row r="38" spans="3:59" ht="10.5">
      <c r="C38" s="31"/>
      <c r="D38" s="127" t="s">
        <v>145</v>
      </c>
      <c r="E38" s="127"/>
      <c r="F38" s="127"/>
      <c r="G38" s="127"/>
      <c r="H38" s="127"/>
      <c r="I38" s="76">
        <v>0.99</v>
      </c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0"/>
      <c r="AS38" s="30"/>
      <c r="AT38" s="30"/>
      <c r="AU38" s="30"/>
      <c r="AV38" s="30"/>
      <c r="AW38" s="30"/>
      <c r="AX38" s="29"/>
      <c r="AY38" s="29"/>
      <c r="AZ38" s="29"/>
      <c r="BA38" s="29"/>
      <c r="BB38" s="29"/>
      <c r="BC38" s="29"/>
      <c r="BD38" s="29"/>
      <c r="BE38" s="29"/>
      <c r="BF38" s="29"/>
      <c r="BG38" s="29"/>
    </row>
    <row r="39" spans="3:59" ht="10.5">
      <c r="C39" s="31"/>
      <c r="D39" s="127" t="s">
        <v>146</v>
      </c>
      <c r="E39" s="127"/>
      <c r="F39" s="127"/>
      <c r="G39" s="127"/>
      <c r="H39" s="127"/>
      <c r="I39" s="76">
        <v>1.1</v>
      </c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0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29"/>
      <c r="BF39" s="29"/>
      <c r="BG39" s="29"/>
    </row>
    <row r="40" spans="3:59" ht="10.5">
      <c r="C40" s="31"/>
      <c r="D40" s="127" t="s">
        <v>147</v>
      </c>
      <c r="E40" s="127"/>
      <c r="F40" s="127"/>
      <c r="G40" s="127"/>
      <c r="H40" s="127"/>
      <c r="I40" s="76">
        <v>1.13</v>
      </c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0"/>
      <c r="AS40" s="30"/>
      <c r="AT40" s="30"/>
      <c r="AU40" s="30"/>
      <c r="AV40" s="30"/>
      <c r="AW40" s="30"/>
      <c r="AX40" s="29"/>
      <c r="AY40" s="29"/>
      <c r="AZ40" s="29"/>
      <c r="BA40" s="29"/>
      <c r="BB40" s="29"/>
      <c r="BC40" s="29"/>
      <c r="BD40" s="29"/>
      <c r="BE40" s="29"/>
      <c r="BF40" s="29"/>
      <c r="BG40" s="29"/>
    </row>
    <row r="41" spans="3:59" ht="10.5">
      <c r="C41" s="31"/>
      <c r="D41" s="127" t="s">
        <v>148</v>
      </c>
      <c r="E41" s="127"/>
      <c r="F41" s="127"/>
      <c r="G41" s="127"/>
      <c r="H41" s="127"/>
      <c r="I41" s="76">
        <v>1.05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30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29"/>
      <c r="BF41" s="29"/>
      <c r="BG41" s="29"/>
    </row>
    <row r="42" spans="3:59" ht="10.5">
      <c r="C42" s="31"/>
      <c r="D42" s="127" t="s">
        <v>149</v>
      </c>
      <c r="E42" s="127"/>
      <c r="F42" s="127"/>
      <c r="G42" s="127"/>
      <c r="H42" s="127"/>
      <c r="I42" s="76">
        <v>1.18</v>
      </c>
      <c r="W42" s="2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</row>
    <row r="43" spans="3:59" ht="36.75" customHeight="1">
      <c r="C43" s="31"/>
      <c r="D43" s="128" t="s">
        <v>150</v>
      </c>
      <c r="E43" s="128"/>
      <c r="F43" s="128"/>
      <c r="G43" s="128"/>
      <c r="H43" s="128"/>
      <c r="I43" s="78">
        <v>1.144</v>
      </c>
      <c r="W43" s="2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</row>
    <row r="44" spans="3:59" ht="10.5">
      <c r="C44" s="31"/>
      <c r="D44" s="75"/>
      <c r="W44" s="28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</row>
    <row r="45" spans="3:59" ht="10.5">
      <c r="C45" s="31"/>
      <c r="D45" s="31"/>
      <c r="W45" s="28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6" spans="3:59" ht="10.5">
      <c r="C46" s="31"/>
      <c r="D46" s="31"/>
      <c r="W46" s="28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</row>
    <row r="47" spans="3:59" ht="10.5">
      <c r="C47" s="31"/>
      <c r="D47" s="31"/>
      <c r="W47" s="28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</row>
    <row r="48" spans="3:4" ht="10.5">
      <c r="C48" s="31"/>
      <c r="D48" s="31"/>
    </row>
  </sheetData>
  <sheetProtection/>
  <mergeCells count="23">
    <mergeCell ref="D41:H41"/>
    <mergeCell ref="D42:H42"/>
    <mergeCell ref="D43:H43"/>
    <mergeCell ref="D36:I36"/>
    <mergeCell ref="D37:H37"/>
    <mergeCell ref="D38:H38"/>
    <mergeCell ref="D39:H39"/>
    <mergeCell ref="I9:K9"/>
    <mergeCell ref="L9:L10"/>
    <mergeCell ref="N9:O9"/>
    <mergeCell ref="P9:R9"/>
    <mergeCell ref="M9:M10"/>
    <mergeCell ref="D40:H40"/>
    <mergeCell ref="G8:G10"/>
    <mergeCell ref="C8:C10"/>
    <mergeCell ref="D8:D10"/>
    <mergeCell ref="E8:E10"/>
    <mergeCell ref="F8:F10"/>
    <mergeCell ref="C4:R4"/>
    <mergeCell ref="C5:R5"/>
    <mergeCell ref="C6:R6"/>
    <mergeCell ref="H8:H10"/>
    <mergeCell ref="I8:R8"/>
  </mergeCells>
  <hyperlinks>
    <hyperlink ref="U4" location="'Калькуляция машино-часа'!A1" display="Калькуляция стоимости 1 часа использования"/>
    <hyperlink ref="U5" location="'Себестоимость 1 машино-часа'!A1" display="Расчет  себестоимости 1 часа использования"/>
    <hyperlink ref="U6" location="'ЗП водителей'!A1" display="Расчет затрат на заработную плату водителей"/>
    <hyperlink ref="U7" location="амортизация!A1" display="Расчет амортизационных отчислений"/>
    <hyperlink ref="U8" location="'расчет % ОПР'!A1" display="Расчет процента общепроизводственных расходов"/>
    <hyperlink ref="U9" location="'расчет % ОХР'!A1" display="Расчет процента общехозяйственных расходов"/>
    <hyperlink ref="U11" location="'Калькуляция 1 км'!A1" display="Калькуляция стоимости 1 км пробега (с топливом)"/>
    <hyperlink ref="U12" location="'Калькуляция 1 км (без топлива)'!A1" display="Калькуляция стоимости 1 км пробега (без топлива)"/>
    <hyperlink ref="U13" location="'Себестоимость 1 км'!A1" display="Расчет себестоимости 1 часа использования"/>
    <hyperlink ref="U14" location="техобслуживание!A1" display="Расчет затрат на техническое обслуживание на 1 км пробега автотранспорта"/>
    <hyperlink ref="U15" location="топливо!A1" display="Расчет затрат на топливо на 1 км пробега автотранспорта"/>
    <hyperlink ref="U16" location="'Затраты на восстановление шин'!A1" display="Расчет  затрат на восстановление шин на 1 км пробега автотранспорта"/>
    <hyperlink ref="U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U20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G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3.140625" style="1" bestFit="1" customWidth="1"/>
    <col min="5" max="5" width="12.00390625" style="1" bestFit="1" customWidth="1"/>
    <col min="6" max="6" width="9.00390625" style="1" customWidth="1"/>
    <col min="7" max="7" width="10.421875" style="1" customWidth="1"/>
    <col min="8" max="8" width="7.00390625" style="1" customWidth="1"/>
    <col min="9" max="9" width="6.57421875" style="1" customWidth="1"/>
    <col min="10" max="10" width="7.421875" style="1" customWidth="1"/>
    <col min="11" max="12" width="6.8515625" style="1" customWidth="1"/>
    <col min="13" max="13" width="5.421875" style="1" customWidth="1"/>
    <col min="14" max="14" width="5.28125" style="1" customWidth="1"/>
    <col min="15" max="15" width="5.140625" style="1" customWidth="1"/>
    <col min="16" max="16" width="5.57421875" style="1" customWidth="1"/>
    <col min="17" max="17" width="5.421875" style="1" customWidth="1"/>
    <col min="18" max="18" width="10.140625" style="1" bestFit="1" customWidth="1"/>
    <col min="19" max="19" width="2.140625" style="1" customWidth="1"/>
    <col min="20" max="20" width="1.57421875" style="1" customWidth="1"/>
    <col min="21" max="21" width="73.28125" style="1" customWidth="1"/>
    <col min="22" max="16384" width="9.140625" style="1" customWidth="1"/>
  </cols>
  <sheetData>
    <row r="1" spans="1:2" ht="11.25" thickBot="1">
      <c r="A1" s="1"/>
      <c r="B1" s="2" t="s">
        <v>0</v>
      </c>
    </row>
    <row r="2" spans="2:19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2:19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8"/>
    </row>
    <row r="4" spans="2:21" ht="15">
      <c r="B4" s="7"/>
      <c r="C4" s="108" t="s">
        <v>32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8"/>
      <c r="U4" s="103" t="s">
        <v>439</v>
      </c>
    </row>
    <row r="5" spans="2:21" ht="15">
      <c r="B5" s="7"/>
      <c r="C5" s="109" t="s">
        <v>178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8"/>
      <c r="U5" s="103" t="s">
        <v>440</v>
      </c>
    </row>
    <row r="6" spans="2:21" ht="15">
      <c r="B6" s="7"/>
      <c r="C6" s="118" t="str">
        <f>'Калькуляция машино-часа'!C10:I10</f>
        <v>Грузопассажирский автомобиль (грузоподъемность 2 т и более, вместимость 5 пассажиро-мест и более)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8"/>
      <c r="U6" s="103" t="s">
        <v>441</v>
      </c>
    </row>
    <row r="7" spans="2:21" ht="15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8"/>
      <c r="U7" s="103" t="s">
        <v>442</v>
      </c>
    </row>
    <row r="8" spans="2:21" ht="18" customHeight="1">
      <c r="B8" s="7"/>
      <c r="C8" s="119" t="s">
        <v>1</v>
      </c>
      <c r="D8" s="119" t="s">
        <v>34</v>
      </c>
      <c r="E8" s="119" t="s">
        <v>35</v>
      </c>
      <c r="F8" s="119" t="s">
        <v>36</v>
      </c>
      <c r="G8" s="119" t="s">
        <v>38</v>
      </c>
      <c r="H8" s="130" t="s">
        <v>153</v>
      </c>
      <c r="I8" s="130"/>
      <c r="J8" s="130"/>
      <c r="K8" s="130"/>
      <c r="L8" s="130"/>
      <c r="M8" s="122" t="s">
        <v>154</v>
      </c>
      <c r="N8" s="124"/>
      <c r="O8" s="124"/>
      <c r="P8" s="124"/>
      <c r="Q8" s="123"/>
      <c r="R8" s="119" t="s">
        <v>166</v>
      </c>
      <c r="S8" s="8"/>
      <c r="U8" s="103" t="s">
        <v>99</v>
      </c>
    </row>
    <row r="9" spans="2:21" ht="10.5" customHeight="1">
      <c r="B9" s="7"/>
      <c r="C9" s="126"/>
      <c r="D9" s="126"/>
      <c r="E9" s="126"/>
      <c r="F9" s="126"/>
      <c r="G9" s="126"/>
      <c r="H9" s="130" t="s">
        <v>155</v>
      </c>
      <c r="I9" s="130"/>
      <c r="J9" s="130"/>
      <c r="K9" s="130"/>
      <c r="L9" s="130"/>
      <c r="M9" s="119" t="s">
        <v>156</v>
      </c>
      <c r="N9" s="119" t="s">
        <v>157</v>
      </c>
      <c r="O9" s="119" t="s">
        <v>158</v>
      </c>
      <c r="P9" s="119" t="s">
        <v>159</v>
      </c>
      <c r="Q9" s="119" t="s">
        <v>160</v>
      </c>
      <c r="R9" s="126"/>
      <c r="S9" s="8"/>
      <c r="U9" s="103" t="s">
        <v>115</v>
      </c>
    </row>
    <row r="10" spans="2:19" ht="31.5" customHeight="1">
      <c r="B10" s="7"/>
      <c r="C10" s="120"/>
      <c r="D10" s="120"/>
      <c r="E10" s="120"/>
      <c r="F10" s="120"/>
      <c r="G10" s="120"/>
      <c r="H10" s="44" t="s">
        <v>161</v>
      </c>
      <c r="I10" s="44" t="s">
        <v>162</v>
      </c>
      <c r="J10" s="44" t="s">
        <v>163</v>
      </c>
      <c r="K10" s="44" t="s">
        <v>164</v>
      </c>
      <c r="L10" s="44" t="s">
        <v>165</v>
      </c>
      <c r="M10" s="120"/>
      <c r="N10" s="120"/>
      <c r="O10" s="120"/>
      <c r="P10" s="120"/>
      <c r="Q10" s="120"/>
      <c r="R10" s="120"/>
      <c r="S10" s="8"/>
    </row>
    <row r="11" spans="2:21" ht="15">
      <c r="B11" s="7"/>
      <c r="C11" s="14">
        <v>1</v>
      </c>
      <c r="D11" s="71" t="str">
        <f>'Себестоимость 1 машино-часа'!D10</f>
        <v>Ford F-150 5,4i</v>
      </c>
      <c r="E11" s="41" t="str">
        <f>'Себестоимость 1 машино-часа'!E10</f>
        <v>221 kW, 4АКПП</v>
      </c>
      <c r="F11" s="41" t="str">
        <f>'Себестоимость 1 машино-часа'!F10</f>
        <v>6765 АА-5</v>
      </c>
      <c r="G11" s="41" t="str">
        <f>'Себестоимость 1 машино-часа'!G10</f>
        <v>Трансп. цех</v>
      </c>
      <c r="H11" s="72"/>
      <c r="I11" s="72"/>
      <c r="J11" s="72"/>
      <c r="K11" s="72">
        <v>19.1</v>
      </c>
      <c r="L11" s="72"/>
      <c r="M11" s="15">
        <v>2250</v>
      </c>
      <c r="N11" s="15">
        <v>2580</v>
      </c>
      <c r="O11" s="15">
        <v>1370</v>
      </c>
      <c r="P11" s="15">
        <v>2870</v>
      </c>
      <c r="Q11" s="15">
        <v>3240</v>
      </c>
      <c r="R11" s="53">
        <f>H11/100*M11+I11/100*N11+J11/100*O11+K11/100*P11+L11/100*Q11</f>
        <v>548.17</v>
      </c>
      <c r="S11" s="8"/>
      <c r="U11" s="103" t="s">
        <v>443</v>
      </c>
    </row>
    <row r="12" spans="2:21" ht="15">
      <c r="B12" s="7"/>
      <c r="C12" s="14">
        <f>C11+1</f>
        <v>2</v>
      </c>
      <c r="D12" s="71" t="str">
        <f>'Себестоимость 1 машино-часа'!D11</f>
        <v>Fiat Doblo 1,9JTD</v>
      </c>
      <c r="E12" s="41" t="str">
        <f>'Себестоимость 1 машино-часа'!E11</f>
        <v>77 kW</v>
      </c>
      <c r="F12" s="41" t="str">
        <f>'Себестоимость 1 машино-часа'!F11</f>
        <v>5642 ВВ-5</v>
      </c>
      <c r="G12" s="41" t="str">
        <f>'Себестоимость 1 машино-часа'!G11</f>
        <v>Трансп. цех</v>
      </c>
      <c r="H12" s="72"/>
      <c r="I12" s="72">
        <v>6.7</v>
      </c>
      <c r="J12" s="72"/>
      <c r="K12" s="72"/>
      <c r="L12" s="72"/>
      <c r="M12" s="53">
        <f>M11</f>
        <v>2250</v>
      </c>
      <c r="N12" s="53">
        <f>N11</f>
        <v>2580</v>
      </c>
      <c r="O12" s="53">
        <f>O11</f>
        <v>1370</v>
      </c>
      <c r="P12" s="53">
        <f>P11</f>
        <v>2870</v>
      </c>
      <c r="Q12" s="53">
        <f>Q11</f>
        <v>3240</v>
      </c>
      <c r="R12" s="53">
        <f aca="true" t="shared" si="0" ref="R12:R31">H12/100*M12+I12/100*N12+J12/100*O12+K12/100*P12+L12/100*Q12</f>
        <v>172.86</v>
      </c>
      <c r="S12" s="8"/>
      <c r="U12" s="103" t="s">
        <v>444</v>
      </c>
    </row>
    <row r="13" spans="2:21" ht="15">
      <c r="B13" s="7"/>
      <c r="C13" s="14">
        <f aca="true" t="shared" si="1" ref="C13:C31">C12+1</f>
        <v>3</v>
      </c>
      <c r="D13" s="71" t="str">
        <f>'Себестоимость 1 машино-часа'!D12</f>
        <v>Mercedes Benz Vito 108  2,1CDi</v>
      </c>
      <c r="E13" s="41" t="str">
        <f>'Себестоимость 1 машино-часа'!E12</f>
        <v>58 kW</v>
      </c>
      <c r="F13" s="41" t="str">
        <f>'Себестоимость 1 машино-часа'!F12</f>
        <v>4455 EA-5</v>
      </c>
      <c r="G13" s="41" t="str">
        <f>'Себестоимость 1 машино-часа'!G12</f>
        <v>Трансп. цех</v>
      </c>
      <c r="H13" s="72"/>
      <c r="I13" s="72">
        <v>10.6</v>
      </c>
      <c r="J13" s="72"/>
      <c r="K13" s="72"/>
      <c r="L13" s="72"/>
      <c r="M13" s="53">
        <f aca="true" t="shared" si="2" ref="M13:M30">M12</f>
        <v>2250</v>
      </c>
      <c r="N13" s="53">
        <f aca="true" t="shared" si="3" ref="N13:N31">N12</f>
        <v>2580</v>
      </c>
      <c r="O13" s="53">
        <f aca="true" t="shared" si="4" ref="O13:O31">O12</f>
        <v>1370</v>
      </c>
      <c r="P13" s="53">
        <f aca="true" t="shared" si="5" ref="P13:P31">P12</f>
        <v>2870</v>
      </c>
      <c r="Q13" s="53">
        <f aca="true" t="shared" si="6" ref="Q13:Q30">Q12</f>
        <v>3240</v>
      </c>
      <c r="R13" s="53">
        <f t="shared" si="0"/>
        <v>273.48</v>
      </c>
      <c r="S13" s="8"/>
      <c r="U13" s="103" t="s">
        <v>446</v>
      </c>
    </row>
    <row r="14" spans="2:21" ht="15">
      <c r="B14" s="7"/>
      <c r="C14" s="14">
        <f t="shared" si="1"/>
        <v>4</v>
      </c>
      <c r="D14" s="71" t="str">
        <f>'Себестоимость 1 машино-часа'!D13</f>
        <v>Renault Kangoo 1,9D</v>
      </c>
      <c r="E14" s="41" t="str">
        <f>'Себестоимость 1 машино-часа'!E13</f>
        <v>47 kW</v>
      </c>
      <c r="F14" s="41" t="str">
        <f>'Себестоимость 1 машино-часа'!F13</f>
        <v>4785 AX-5</v>
      </c>
      <c r="G14" s="41" t="str">
        <f>'Себестоимость 1 машино-часа'!G13</f>
        <v>Трансп. цех</v>
      </c>
      <c r="H14" s="72"/>
      <c r="I14" s="72">
        <v>7.2</v>
      </c>
      <c r="J14" s="72"/>
      <c r="K14" s="72"/>
      <c r="L14" s="72"/>
      <c r="M14" s="53">
        <f t="shared" si="2"/>
        <v>2250</v>
      </c>
      <c r="N14" s="53">
        <f t="shared" si="3"/>
        <v>2580</v>
      </c>
      <c r="O14" s="53">
        <f t="shared" si="4"/>
        <v>1370</v>
      </c>
      <c r="P14" s="53">
        <f t="shared" si="5"/>
        <v>2870</v>
      </c>
      <c r="Q14" s="53">
        <f t="shared" si="6"/>
        <v>3240</v>
      </c>
      <c r="R14" s="53">
        <f t="shared" si="0"/>
        <v>185.76000000000002</v>
      </c>
      <c r="S14" s="8"/>
      <c r="U14" s="103" t="s">
        <v>447</v>
      </c>
    </row>
    <row r="15" spans="2:21" ht="15">
      <c r="B15" s="7"/>
      <c r="C15" s="14">
        <f t="shared" si="1"/>
        <v>5</v>
      </c>
      <c r="D15" s="71" t="str">
        <f>'Себестоимость 1 машино-часа'!D14</f>
        <v>ГАЗ-27527</v>
      </c>
      <c r="E15" s="41" t="str">
        <f>'Себестоимость 1 машино-часа'!E14</f>
        <v>ЗМЗ-40522R</v>
      </c>
      <c r="F15" s="41" t="str">
        <f>'Себестоимость 1 машино-часа'!F14</f>
        <v>2210 KK-5</v>
      </c>
      <c r="G15" s="41" t="str">
        <f>'Себестоимость 1 машино-часа'!G14</f>
        <v>Трансп. цех</v>
      </c>
      <c r="H15" s="72">
        <v>14.2</v>
      </c>
      <c r="I15" s="72"/>
      <c r="J15" s="72"/>
      <c r="K15" s="72"/>
      <c r="L15" s="72"/>
      <c r="M15" s="53">
        <f t="shared" si="2"/>
        <v>2250</v>
      </c>
      <c r="N15" s="53">
        <f t="shared" si="3"/>
        <v>2580</v>
      </c>
      <c r="O15" s="53">
        <f t="shared" si="4"/>
        <v>1370</v>
      </c>
      <c r="P15" s="53">
        <f t="shared" si="5"/>
        <v>2870</v>
      </c>
      <c r="Q15" s="53">
        <f t="shared" si="6"/>
        <v>3240</v>
      </c>
      <c r="R15" s="53">
        <f t="shared" si="0"/>
        <v>319.49999999999994</v>
      </c>
      <c r="S15" s="8"/>
      <c r="U15" s="103" t="s">
        <v>448</v>
      </c>
    </row>
    <row r="16" spans="2:21" ht="15">
      <c r="B16" s="7"/>
      <c r="C16" s="14">
        <f t="shared" si="1"/>
        <v>6</v>
      </c>
      <c r="D16" s="71">
        <f>'Себестоимость 1 машино-часа'!D15</f>
        <v>0</v>
      </c>
      <c r="E16" s="41">
        <f>'Себестоимость 1 машино-часа'!E15</f>
        <v>0</v>
      </c>
      <c r="F16" s="41">
        <f>'Себестоимость 1 машино-часа'!F15</f>
        <v>0</v>
      </c>
      <c r="G16" s="41">
        <f>'Себестоимость 1 машино-часа'!G15</f>
        <v>0</v>
      </c>
      <c r="H16" s="72"/>
      <c r="I16" s="16"/>
      <c r="J16" s="16"/>
      <c r="K16" s="16"/>
      <c r="L16" s="74"/>
      <c r="M16" s="53">
        <f t="shared" si="2"/>
        <v>2250</v>
      </c>
      <c r="N16" s="53">
        <f t="shared" si="3"/>
        <v>2580</v>
      </c>
      <c r="O16" s="53">
        <f t="shared" si="4"/>
        <v>1370</v>
      </c>
      <c r="P16" s="53">
        <f t="shared" si="5"/>
        <v>2870</v>
      </c>
      <c r="Q16" s="53">
        <f t="shared" si="6"/>
        <v>3240</v>
      </c>
      <c r="R16" s="53">
        <f t="shared" si="0"/>
        <v>0</v>
      </c>
      <c r="S16" s="8"/>
      <c r="U16" s="103" t="s">
        <v>449</v>
      </c>
    </row>
    <row r="17" spans="2:19" ht="10.5">
      <c r="B17" s="7"/>
      <c r="C17" s="14">
        <f t="shared" si="1"/>
        <v>7</v>
      </c>
      <c r="D17" s="71">
        <f>'Себестоимость 1 машино-часа'!D16</f>
        <v>0</v>
      </c>
      <c r="E17" s="41">
        <f>'Себестоимость 1 машино-часа'!E16</f>
        <v>0</v>
      </c>
      <c r="F17" s="41">
        <f>'Себестоимость 1 машино-часа'!F16</f>
        <v>0</v>
      </c>
      <c r="G17" s="41">
        <f>'Себестоимость 1 машино-часа'!G16</f>
        <v>0</v>
      </c>
      <c r="H17" s="72"/>
      <c r="I17" s="16"/>
      <c r="J17" s="16"/>
      <c r="K17" s="16"/>
      <c r="L17" s="74"/>
      <c r="M17" s="53">
        <f t="shared" si="2"/>
        <v>2250</v>
      </c>
      <c r="N17" s="53">
        <f t="shared" si="3"/>
        <v>2580</v>
      </c>
      <c r="O17" s="53">
        <f t="shared" si="4"/>
        <v>1370</v>
      </c>
      <c r="P17" s="53">
        <f t="shared" si="5"/>
        <v>2870</v>
      </c>
      <c r="Q17" s="53">
        <f t="shared" si="6"/>
        <v>3240</v>
      </c>
      <c r="R17" s="53">
        <f t="shared" si="0"/>
        <v>0</v>
      </c>
      <c r="S17" s="8"/>
    </row>
    <row r="18" spans="2:19" ht="10.5">
      <c r="B18" s="7"/>
      <c r="C18" s="14">
        <f t="shared" si="1"/>
        <v>8</v>
      </c>
      <c r="D18" s="71">
        <f>'Себестоимость 1 машино-часа'!D17</f>
        <v>0</v>
      </c>
      <c r="E18" s="41">
        <f>'Себестоимость 1 машино-часа'!E17</f>
        <v>0</v>
      </c>
      <c r="F18" s="41">
        <f>'Себестоимость 1 машино-часа'!F17</f>
        <v>0</v>
      </c>
      <c r="G18" s="41">
        <f>'Себестоимость 1 машино-часа'!G17</f>
        <v>0</v>
      </c>
      <c r="H18" s="72"/>
      <c r="I18" s="16"/>
      <c r="J18" s="16"/>
      <c r="K18" s="16"/>
      <c r="L18" s="74"/>
      <c r="M18" s="53">
        <f t="shared" si="2"/>
        <v>2250</v>
      </c>
      <c r="N18" s="53">
        <f t="shared" si="3"/>
        <v>2580</v>
      </c>
      <c r="O18" s="53">
        <f t="shared" si="4"/>
        <v>1370</v>
      </c>
      <c r="P18" s="53">
        <f t="shared" si="5"/>
        <v>2870</v>
      </c>
      <c r="Q18" s="53">
        <f t="shared" si="6"/>
        <v>3240</v>
      </c>
      <c r="R18" s="53">
        <f t="shared" si="0"/>
        <v>0</v>
      </c>
      <c r="S18" s="8"/>
    </row>
    <row r="19" spans="2:21" ht="15">
      <c r="B19" s="7"/>
      <c r="C19" s="14">
        <f t="shared" si="1"/>
        <v>9</v>
      </c>
      <c r="D19" s="71">
        <f>'Себестоимость 1 машино-часа'!D18</f>
        <v>0</v>
      </c>
      <c r="E19" s="41">
        <f>'Себестоимость 1 машино-часа'!E18</f>
        <v>0</v>
      </c>
      <c r="F19" s="41">
        <f>'Себестоимость 1 машино-часа'!F18</f>
        <v>0</v>
      </c>
      <c r="G19" s="41">
        <f>'Себестоимость 1 машино-часа'!G18</f>
        <v>0</v>
      </c>
      <c r="H19" s="72"/>
      <c r="I19" s="16"/>
      <c r="J19" s="16"/>
      <c r="K19" s="16"/>
      <c r="L19" s="74"/>
      <c r="M19" s="53">
        <f t="shared" si="2"/>
        <v>2250</v>
      </c>
      <c r="N19" s="53">
        <f t="shared" si="3"/>
        <v>2580</v>
      </c>
      <c r="O19" s="53">
        <f t="shared" si="4"/>
        <v>1370</v>
      </c>
      <c r="P19" s="53">
        <f t="shared" si="5"/>
        <v>2870</v>
      </c>
      <c r="Q19" s="53">
        <f t="shared" si="6"/>
        <v>3240</v>
      </c>
      <c r="R19" s="53">
        <f t="shared" si="0"/>
        <v>0</v>
      </c>
      <c r="S19" s="8"/>
      <c r="U19" s="103" t="s">
        <v>450</v>
      </c>
    </row>
    <row r="20" spans="2:21" ht="15">
      <c r="B20" s="7"/>
      <c r="C20" s="14">
        <f t="shared" si="1"/>
        <v>10</v>
      </c>
      <c r="D20" s="71">
        <f>'Себестоимость 1 машино-часа'!D19</f>
        <v>0</v>
      </c>
      <c r="E20" s="41">
        <f>'Себестоимость 1 машино-часа'!E19</f>
        <v>0</v>
      </c>
      <c r="F20" s="41">
        <f>'Себестоимость 1 машино-часа'!F19</f>
        <v>0</v>
      </c>
      <c r="G20" s="41">
        <f>'Себестоимость 1 машино-часа'!G19</f>
        <v>0</v>
      </c>
      <c r="H20" s="72"/>
      <c r="I20" s="16"/>
      <c r="J20" s="16"/>
      <c r="K20" s="16"/>
      <c r="L20" s="74"/>
      <c r="M20" s="53">
        <f t="shared" si="2"/>
        <v>2250</v>
      </c>
      <c r="N20" s="53">
        <f t="shared" si="3"/>
        <v>2580</v>
      </c>
      <c r="O20" s="53">
        <f t="shared" si="4"/>
        <v>1370</v>
      </c>
      <c r="P20" s="53">
        <f t="shared" si="5"/>
        <v>2870</v>
      </c>
      <c r="Q20" s="53">
        <f t="shared" si="6"/>
        <v>3240</v>
      </c>
      <c r="R20" s="53">
        <f t="shared" si="0"/>
        <v>0</v>
      </c>
      <c r="S20" s="8"/>
      <c r="U20" s="103" t="s">
        <v>410</v>
      </c>
    </row>
    <row r="21" spans="2:19" ht="10.5">
      <c r="B21" s="7"/>
      <c r="C21" s="14">
        <f t="shared" si="1"/>
        <v>11</v>
      </c>
      <c r="D21" s="71">
        <f>'Себестоимость 1 машино-часа'!D20</f>
        <v>0</v>
      </c>
      <c r="E21" s="41">
        <f>'Себестоимость 1 машино-часа'!E20</f>
        <v>0</v>
      </c>
      <c r="F21" s="41">
        <f>'Себестоимость 1 машино-часа'!F20</f>
        <v>0</v>
      </c>
      <c r="G21" s="41">
        <f>'Себестоимость 1 машино-часа'!G20</f>
        <v>0</v>
      </c>
      <c r="H21" s="72"/>
      <c r="I21" s="16"/>
      <c r="J21" s="16"/>
      <c r="K21" s="16"/>
      <c r="L21" s="74"/>
      <c r="M21" s="53">
        <f t="shared" si="2"/>
        <v>2250</v>
      </c>
      <c r="N21" s="53">
        <f t="shared" si="3"/>
        <v>2580</v>
      </c>
      <c r="O21" s="53">
        <f t="shared" si="4"/>
        <v>1370</v>
      </c>
      <c r="P21" s="53">
        <f t="shared" si="5"/>
        <v>2870</v>
      </c>
      <c r="Q21" s="53">
        <f t="shared" si="6"/>
        <v>3240</v>
      </c>
      <c r="R21" s="53">
        <f t="shared" si="0"/>
        <v>0</v>
      </c>
      <c r="S21" s="8"/>
    </row>
    <row r="22" spans="2:19" ht="10.5">
      <c r="B22" s="7"/>
      <c r="C22" s="14">
        <f t="shared" si="1"/>
        <v>12</v>
      </c>
      <c r="D22" s="71">
        <f>'Себестоимость 1 машино-часа'!D21</f>
        <v>0</v>
      </c>
      <c r="E22" s="41">
        <f>'Себестоимость 1 машино-часа'!E21</f>
        <v>0</v>
      </c>
      <c r="F22" s="41">
        <f>'Себестоимость 1 машино-часа'!F21</f>
        <v>0</v>
      </c>
      <c r="G22" s="41">
        <f>'Себестоимость 1 машино-часа'!G21</f>
        <v>0</v>
      </c>
      <c r="H22" s="72"/>
      <c r="I22" s="16"/>
      <c r="J22" s="16"/>
      <c r="K22" s="16"/>
      <c r="L22" s="74"/>
      <c r="M22" s="53">
        <f t="shared" si="2"/>
        <v>2250</v>
      </c>
      <c r="N22" s="53">
        <f t="shared" si="3"/>
        <v>2580</v>
      </c>
      <c r="O22" s="53">
        <f t="shared" si="4"/>
        <v>1370</v>
      </c>
      <c r="P22" s="53">
        <f t="shared" si="5"/>
        <v>2870</v>
      </c>
      <c r="Q22" s="53">
        <f t="shared" si="6"/>
        <v>3240</v>
      </c>
      <c r="R22" s="53">
        <f t="shared" si="0"/>
        <v>0</v>
      </c>
      <c r="S22" s="8"/>
    </row>
    <row r="23" spans="2:19" ht="10.5">
      <c r="B23" s="7"/>
      <c r="C23" s="14">
        <f t="shared" si="1"/>
        <v>13</v>
      </c>
      <c r="D23" s="71">
        <f>'Себестоимость 1 машино-часа'!D22</f>
        <v>0</v>
      </c>
      <c r="E23" s="41">
        <f>'Себестоимость 1 машино-часа'!E22</f>
        <v>0</v>
      </c>
      <c r="F23" s="41">
        <f>'Себестоимость 1 машино-часа'!F22</f>
        <v>0</v>
      </c>
      <c r="G23" s="41">
        <f>'Себестоимость 1 машино-часа'!G22</f>
        <v>0</v>
      </c>
      <c r="H23" s="72"/>
      <c r="I23" s="16"/>
      <c r="J23" s="16"/>
      <c r="K23" s="16"/>
      <c r="L23" s="74"/>
      <c r="M23" s="53">
        <f t="shared" si="2"/>
        <v>2250</v>
      </c>
      <c r="N23" s="53">
        <f t="shared" si="3"/>
        <v>2580</v>
      </c>
      <c r="O23" s="53">
        <f t="shared" si="4"/>
        <v>1370</v>
      </c>
      <c r="P23" s="53">
        <f t="shared" si="5"/>
        <v>2870</v>
      </c>
      <c r="Q23" s="53">
        <f t="shared" si="6"/>
        <v>3240</v>
      </c>
      <c r="R23" s="53">
        <f t="shared" si="0"/>
        <v>0</v>
      </c>
      <c r="S23" s="8"/>
    </row>
    <row r="24" spans="2:19" ht="10.5">
      <c r="B24" s="7"/>
      <c r="C24" s="14">
        <f t="shared" si="1"/>
        <v>14</v>
      </c>
      <c r="D24" s="71">
        <f>'Себестоимость 1 машино-часа'!D23</f>
        <v>0</v>
      </c>
      <c r="E24" s="41">
        <f>'Себестоимость 1 машино-часа'!E23</f>
        <v>0</v>
      </c>
      <c r="F24" s="41">
        <f>'Себестоимость 1 машино-часа'!F23</f>
        <v>0</v>
      </c>
      <c r="G24" s="41">
        <f>'Себестоимость 1 машино-часа'!G23</f>
        <v>0</v>
      </c>
      <c r="H24" s="72"/>
      <c r="I24" s="16"/>
      <c r="J24" s="16"/>
      <c r="K24" s="16"/>
      <c r="L24" s="74"/>
      <c r="M24" s="53">
        <f t="shared" si="2"/>
        <v>2250</v>
      </c>
      <c r="N24" s="53">
        <f t="shared" si="3"/>
        <v>2580</v>
      </c>
      <c r="O24" s="53">
        <f t="shared" si="4"/>
        <v>1370</v>
      </c>
      <c r="P24" s="53">
        <f t="shared" si="5"/>
        <v>2870</v>
      </c>
      <c r="Q24" s="53">
        <f t="shared" si="6"/>
        <v>3240</v>
      </c>
      <c r="R24" s="53">
        <f t="shared" si="0"/>
        <v>0</v>
      </c>
      <c r="S24" s="8"/>
    </row>
    <row r="25" spans="2:19" ht="10.5">
      <c r="B25" s="7"/>
      <c r="C25" s="14">
        <f t="shared" si="1"/>
        <v>15</v>
      </c>
      <c r="D25" s="71">
        <f>'Себестоимость 1 машино-часа'!D24</f>
        <v>0</v>
      </c>
      <c r="E25" s="41">
        <f>'Себестоимость 1 машино-часа'!E24</f>
        <v>0</v>
      </c>
      <c r="F25" s="41">
        <f>'Себестоимость 1 машино-часа'!F24</f>
        <v>0</v>
      </c>
      <c r="G25" s="41">
        <f>'Себестоимость 1 машино-часа'!G24</f>
        <v>0</v>
      </c>
      <c r="H25" s="72"/>
      <c r="I25" s="16"/>
      <c r="J25" s="16"/>
      <c r="K25" s="16"/>
      <c r="L25" s="74"/>
      <c r="M25" s="53">
        <f t="shared" si="2"/>
        <v>2250</v>
      </c>
      <c r="N25" s="53">
        <f t="shared" si="3"/>
        <v>2580</v>
      </c>
      <c r="O25" s="53">
        <f t="shared" si="4"/>
        <v>1370</v>
      </c>
      <c r="P25" s="53">
        <f t="shared" si="5"/>
        <v>2870</v>
      </c>
      <c r="Q25" s="53">
        <f t="shared" si="6"/>
        <v>3240</v>
      </c>
      <c r="R25" s="53">
        <f t="shared" si="0"/>
        <v>0</v>
      </c>
      <c r="S25" s="8"/>
    </row>
    <row r="26" spans="2:19" ht="10.5">
      <c r="B26" s="7"/>
      <c r="C26" s="14">
        <f t="shared" si="1"/>
        <v>16</v>
      </c>
      <c r="D26" s="71">
        <f>'Себестоимость 1 машино-часа'!D25</f>
        <v>0</v>
      </c>
      <c r="E26" s="41">
        <f>'Себестоимость 1 машино-часа'!E25</f>
        <v>0</v>
      </c>
      <c r="F26" s="41">
        <f>'Себестоимость 1 машино-часа'!F25</f>
        <v>0</v>
      </c>
      <c r="G26" s="41">
        <f>'Себестоимость 1 машино-часа'!G25</f>
        <v>0</v>
      </c>
      <c r="H26" s="72"/>
      <c r="I26" s="16"/>
      <c r="J26" s="16"/>
      <c r="K26" s="16"/>
      <c r="L26" s="74"/>
      <c r="M26" s="53">
        <f t="shared" si="2"/>
        <v>2250</v>
      </c>
      <c r="N26" s="53">
        <f t="shared" si="3"/>
        <v>2580</v>
      </c>
      <c r="O26" s="53">
        <f t="shared" si="4"/>
        <v>1370</v>
      </c>
      <c r="P26" s="53">
        <f t="shared" si="5"/>
        <v>2870</v>
      </c>
      <c r="Q26" s="53">
        <f t="shared" si="6"/>
        <v>3240</v>
      </c>
      <c r="R26" s="53">
        <f t="shared" si="0"/>
        <v>0</v>
      </c>
      <c r="S26" s="8"/>
    </row>
    <row r="27" spans="2:19" ht="10.5">
      <c r="B27" s="7"/>
      <c r="C27" s="14">
        <f t="shared" si="1"/>
        <v>17</v>
      </c>
      <c r="D27" s="71">
        <f>'Себестоимость 1 машино-часа'!D26</f>
        <v>0</v>
      </c>
      <c r="E27" s="41">
        <f>'Себестоимость 1 машино-часа'!E26</f>
        <v>0</v>
      </c>
      <c r="F27" s="41">
        <f>'Себестоимость 1 машино-часа'!F26</f>
        <v>0</v>
      </c>
      <c r="G27" s="41">
        <f>'Себестоимость 1 машино-часа'!G26</f>
        <v>0</v>
      </c>
      <c r="H27" s="72"/>
      <c r="I27" s="16"/>
      <c r="J27" s="16"/>
      <c r="K27" s="16"/>
      <c r="L27" s="74"/>
      <c r="M27" s="53">
        <f t="shared" si="2"/>
        <v>2250</v>
      </c>
      <c r="N27" s="53">
        <f t="shared" si="3"/>
        <v>2580</v>
      </c>
      <c r="O27" s="53">
        <f t="shared" si="4"/>
        <v>1370</v>
      </c>
      <c r="P27" s="53">
        <f t="shared" si="5"/>
        <v>2870</v>
      </c>
      <c r="Q27" s="53">
        <f t="shared" si="6"/>
        <v>3240</v>
      </c>
      <c r="R27" s="53">
        <f t="shared" si="0"/>
        <v>0</v>
      </c>
      <c r="S27" s="8"/>
    </row>
    <row r="28" spans="2:19" ht="10.5">
      <c r="B28" s="7"/>
      <c r="C28" s="14">
        <f t="shared" si="1"/>
        <v>18</v>
      </c>
      <c r="D28" s="71">
        <f>'Себестоимость 1 машино-часа'!D27</f>
        <v>0</v>
      </c>
      <c r="E28" s="41">
        <f>'Себестоимость 1 машино-часа'!E27</f>
        <v>0</v>
      </c>
      <c r="F28" s="41">
        <f>'Себестоимость 1 машино-часа'!F27</f>
        <v>0</v>
      </c>
      <c r="G28" s="41">
        <f>'Себестоимость 1 машино-часа'!G27</f>
        <v>0</v>
      </c>
      <c r="H28" s="72"/>
      <c r="I28" s="16"/>
      <c r="J28" s="16"/>
      <c r="K28" s="16"/>
      <c r="L28" s="74"/>
      <c r="M28" s="53">
        <f t="shared" si="2"/>
        <v>2250</v>
      </c>
      <c r="N28" s="53">
        <f t="shared" si="3"/>
        <v>2580</v>
      </c>
      <c r="O28" s="53">
        <f t="shared" si="4"/>
        <v>1370</v>
      </c>
      <c r="P28" s="53">
        <f t="shared" si="5"/>
        <v>2870</v>
      </c>
      <c r="Q28" s="53">
        <f t="shared" si="6"/>
        <v>3240</v>
      </c>
      <c r="R28" s="53">
        <f t="shared" si="0"/>
        <v>0</v>
      </c>
      <c r="S28" s="8"/>
    </row>
    <row r="29" spans="2:19" ht="10.5">
      <c r="B29" s="7"/>
      <c r="C29" s="14">
        <f t="shared" si="1"/>
        <v>19</v>
      </c>
      <c r="D29" s="71">
        <f>'Себестоимость 1 машино-часа'!D28</f>
        <v>0</v>
      </c>
      <c r="E29" s="41">
        <f>'Себестоимость 1 машино-часа'!E28</f>
        <v>0</v>
      </c>
      <c r="F29" s="41">
        <f>'Себестоимость 1 машино-часа'!F28</f>
        <v>0</v>
      </c>
      <c r="G29" s="41">
        <f>'Себестоимость 1 машино-часа'!G28</f>
        <v>0</v>
      </c>
      <c r="H29" s="72"/>
      <c r="I29" s="16"/>
      <c r="J29" s="16"/>
      <c r="K29" s="16"/>
      <c r="L29" s="74"/>
      <c r="M29" s="53">
        <f t="shared" si="2"/>
        <v>2250</v>
      </c>
      <c r="N29" s="53">
        <f t="shared" si="3"/>
        <v>2580</v>
      </c>
      <c r="O29" s="53">
        <f t="shared" si="4"/>
        <v>1370</v>
      </c>
      <c r="P29" s="53">
        <f t="shared" si="5"/>
        <v>2870</v>
      </c>
      <c r="Q29" s="53">
        <f t="shared" si="6"/>
        <v>3240</v>
      </c>
      <c r="R29" s="53">
        <f t="shared" si="0"/>
        <v>0</v>
      </c>
      <c r="S29" s="8"/>
    </row>
    <row r="30" spans="2:19" ht="10.5">
      <c r="B30" s="7"/>
      <c r="C30" s="14">
        <f t="shared" si="1"/>
        <v>20</v>
      </c>
      <c r="D30" s="71">
        <f>'Себестоимость 1 машино-часа'!D29</f>
        <v>0</v>
      </c>
      <c r="E30" s="41">
        <f>'Себестоимость 1 машино-часа'!E29</f>
        <v>0</v>
      </c>
      <c r="F30" s="41">
        <f>'Себестоимость 1 машино-часа'!F29</f>
        <v>0</v>
      </c>
      <c r="G30" s="41">
        <f>'Себестоимость 1 машино-часа'!G29</f>
        <v>0</v>
      </c>
      <c r="H30" s="72"/>
      <c r="I30" s="16"/>
      <c r="J30" s="16"/>
      <c r="K30" s="16"/>
      <c r="L30" s="74"/>
      <c r="M30" s="53">
        <f t="shared" si="2"/>
        <v>2250</v>
      </c>
      <c r="N30" s="53">
        <f t="shared" si="3"/>
        <v>2580</v>
      </c>
      <c r="O30" s="53">
        <f t="shared" si="4"/>
        <v>1370</v>
      </c>
      <c r="P30" s="53">
        <f t="shared" si="5"/>
        <v>2870</v>
      </c>
      <c r="Q30" s="53">
        <f t="shared" si="6"/>
        <v>3240</v>
      </c>
      <c r="R30" s="53">
        <f t="shared" si="0"/>
        <v>0</v>
      </c>
      <c r="S30" s="8"/>
    </row>
    <row r="31" spans="2:19" ht="10.5">
      <c r="B31" s="7"/>
      <c r="C31" s="14">
        <f t="shared" si="1"/>
        <v>21</v>
      </c>
      <c r="D31" s="71">
        <f>'Себестоимость 1 машино-часа'!D30</f>
        <v>0</v>
      </c>
      <c r="E31" s="41">
        <f>'Себестоимость 1 машино-часа'!E30</f>
        <v>0</v>
      </c>
      <c r="F31" s="41">
        <f>'Себестоимость 1 машино-часа'!F30</f>
        <v>0</v>
      </c>
      <c r="G31" s="41">
        <f>'Себестоимость 1 машино-часа'!G30</f>
        <v>0</v>
      </c>
      <c r="H31" s="72"/>
      <c r="I31" s="16"/>
      <c r="J31" s="16"/>
      <c r="K31" s="16"/>
      <c r="L31" s="74"/>
      <c r="M31" s="53">
        <f>M30</f>
        <v>2250</v>
      </c>
      <c r="N31" s="53">
        <f t="shared" si="3"/>
        <v>2580</v>
      </c>
      <c r="O31" s="53">
        <f t="shared" si="4"/>
        <v>1370</v>
      </c>
      <c r="P31" s="53">
        <f t="shared" si="5"/>
        <v>2870</v>
      </c>
      <c r="Q31" s="53">
        <f>Q30</f>
        <v>3240</v>
      </c>
      <c r="R31" s="53">
        <f t="shared" si="0"/>
        <v>0</v>
      </c>
      <c r="S31" s="8"/>
    </row>
    <row r="32" spans="2:19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8"/>
    </row>
    <row r="33" spans="2:59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</row>
    <row r="34" spans="23:59" ht="10.5"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30"/>
      <c r="AX34" s="29"/>
      <c r="AY34" s="29"/>
      <c r="AZ34" s="29"/>
      <c r="BA34" s="29"/>
      <c r="BB34" s="29"/>
      <c r="BC34" s="29"/>
      <c r="BD34" s="29"/>
      <c r="BE34" s="29"/>
      <c r="BF34" s="29"/>
      <c r="BG34" s="29"/>
    </row>
    <row r="35" spans="3:59" ht="10.5">
      <c r="C35" s="31"/>
      <c r="D35" s="31"/>
      <c r="W35" s="2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</row>
    <row r="36" spans="3:4" ht="10.5">
      <c r="C36" s="31"/>
      <c r="D36" s="31"/>
    </row>
    <row r="37" ht="10.5">
      <c r="U37" s="23"/>
    </row>
  </sheetData>
  <sheetProtection/>
  <mergeCells count="17">
    <mergeCell ref="H9:L9"/>
    <mergeCell ref="M8:Q8"/>
    <mergeCell ref="M9:M10"/>
    <mergeCell ref="N9:N10"/>
    <mergeCell ref="O9:O10"/>
    <mergeCell ref="P9:P10"/>
    <mergeCell ref="Q9:Q10"/>
    <mergeCell ref="C4:R4"/>
    <mergeCell ref="C5:R5"/>
    <mergeCell ref="C6:R6"/>
    <mergeCell ref="C8:C10"/>
    <mergeCell ref="D8:D10"/>
    <mergeCell ref="E8:E10"/>
    <mergeCell ref="F8:F10"/>
    <mergeCell ref="G8:G10"/>
    <mergeCell ref="R8:R10"/>
    <mergeCell ref="H8:L8"/>
  </mergeCells>
  <hyperlinks>
    <hyperlink ref="U4" location="'Калькуляция машино-часа'!A1" display="Калькуляция стоимости 1 часа использования"/>
    <hyperlink ref="U5" location="'Себестоимость 1 машино-часа'!A1" display="Расчет  себестоимости 1 часа использования"/>
    <hyperlink ref="U6" location="'ЗП водителей'!A1" display="Расчет затрат на заработную плату водителей"/>
    <hyperlink ref="U7" location="амортизация!A1" display="Расчет амортизационных отчислений"/>
    <hyperlink ref="U8" location="'расчет % ОПР'!A1" display="Расчет процента общепроизводственных расходов"/>
    <hyperlink ref="U9" location="'расчет % ОХР'!A1" display="Расчет процента общехозяйственных расходов"/>
    <hyperlink ref="U11" location="'Калькуляция 1 км'!A1" display="Калькуляция стоимости 1 км пробега (с топливом)"/>
    <hyperlink ref="U12" location="'Калькуляция 1 км (без топлива)'!A1" display="Калькуляция стоимости 1 км пробега (без топлива)"/>
    <hyperlink ref="U13" location="'Себестоимость 1 км'!A1" display="Расчет себестоимости 1 часа использования"/>
    <hyperlink ref="U14" location="техобслуживание!A1" display="Расчет затрат на техническое обслуживание на 1 км пробега автотранспорта"/>
    <hyperlink ref="U15" location="топливо!A1" display="Расчет затрат на топливо на 1 км пробега автотранспорта"/>
    <hyperlink ref="U16" location="'Затраты на восстановление шин'!A1" display="Расчет  затрат на восстановление шин на 1 км пробега автотранспорта"/>
    <hyperlink ref="U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U20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7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C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3.140625" style="1" bestFit="1" customWidth="1"/>
    <col min="5" max="5" width="12.00390625" style="1" bestFit="1" customWidth="1"/>
    <col min="6" max="6" width="9.00390625" style="1" customWidth="1"/>
    <col min="7" max="7" width="10.421875" style="1" customWidth="1"/>
    <col min="8" max="8" width="10.421875" style="1" bestFit="1" customWidth="1"/>
    <col min="9" max="9" width="8.7109375" style="1" bestFit="1" customWidth="1"/>
    <col min="10" max="10" width="13.140625" style="1" customWidth="1"/>
    <col min="11" max="11" width="9.140625" style="1" customWidth="1"/>
    <col min="12" max="12" width="9.7109375" style="1" customWidth="1"/>
    <col min="13" max="13" width="10.28125" style="1" customWidth="1"/>
    <col min="14" max="14" width="11.421875" style="1" customWidth="1"/>
    <col min="15" max="16" width="2.140625" style="1" customWidth="1"/>
    <col min="17" max="17" width="73.28125" style="1" customWidth="1"/>
    <col min="18" max="16384" width="9.140625" style="1" customWidth="1"/>
  </cols>
  <sheetData>
    <row r="1" spans="1:2" ht="11.25" thickBot="1">
      <c r="A1" s="1"/>
      <c r="B1" s="2" t="s">
        <v>0</v>
      </c>
    </row>
    <row r="2" spans="2:15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8"/>
    </row>
    <row r="4" spans="2:17" ht="15">
      <c r="B4" s="7"/>
      <c r="C4" s="108" t="s">
        <v>32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8"/>
      <c r="Q4" s="103" t="s">
        <v>439</v>
      </c>
    </row>
    <row r="5" spans="2:17" ht="15">
      <c r="B5" s="7"/>
      <c r="C5" s="109" t="s">
        <v>177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8"/>
      <c r="Q5" s="103" t="s">
        <v>440</v>
      </c>
    </row>
    <row r="6" spans="2:17" ht="15">
      <c r="B6" s="7"/>
      <c r="C6" s="118" t="str">
        <f>'Калькуляция машино-часа'!C10:I10</f>
        <v>Грузопассажирский автомобиль (грузоподъемность 2 т и более, вместимость 5 пассажиро-мест и более)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8"/>
      <c r="Q6" s="103" t="s">
        <v>441</v>
      </c>
    </row>
    <row r="7" spans="2:17" ht="15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Q7" s="103" t="s">
        <v>442</v>
      </c>
    </row>
    <row r="8" spans="2:17" ht="29.25" customHeight="1">
      <c r="B8" s="7"/>
      <c r="C8" s="44" t="s">
        <v>1</v>
      </c>
      <c r="D8" s="44" t="s">
        <v>34</v>
      </c>
      <c r="E8" s="44" t="s">
        <v>35</v>
      </c>
      <c r="F8" s="44" t="s">
        <v>36</v>
      </c>
      <c r="G8" s="44" t="s">
        <v>38</v>
      </c>
      <c r="H8" s="44" t="s">
        <v>167</v>
      </c>
      <c r="I8" s="44" t="s">
        <v>168</v>
      </c>
      <c r="J8" s="44" t="s">
        <v>169</v>
      </c>
      <c r="K8" s="44" t="s">
        <v>172</v>
      </c>
      <c r="L8" s="44" t="s">
        <v>170</v>
      </c>
      <c r="M8" s="44" t="s">
        <v>173</v>
      </c>
      <c r="N8" s="44" t="s">
        <v>171</v>
      </c>
      <c r="O8" s="8"/>
      <c r="Q8" s="103" t="s">
        <v>99</v>
      </c>
    </row>
    <row r="9" spans="2:17" ht="15">
      <c r="B9" s="7"/>
      <c r="C9" s="14">
        <v>1</v>
      </c>
      <c r="D9" s="71" t="str">
        <f>'Себестоимость 1 машино-часа'!D10</f>
        <v>Ford F-150 5,4i</v>
      </c>
      <c r="E9" s="41" t="str">
        <f>'Себестоимость 1 машино-часа'!E10</f>
        <v>221 kW, 4АКПП</v>
      </c>
      <c r="F9" s="41" t="str">
        <f>'Себестоимость 1 машино-часа'!F10</f>
        <v>6765 АА-5</v>
      </c>
      <c r="G9" s="41" t="str">
        <f>'Себестоимость 1 машино-часа'!G10</f>
        <v>Трансп. цех</v>
      </c>
      <c r="H9" s="72" t="s">
        <v>174</v>
      </c>
      <c r="I9" s="61" t="s">
        <v>175</v>
      </c>
      <c r="J9" s="72">
        <v>90000</v>
      </c>
      <c r="K9" s="72">
        <v>6</v>
      </c>
      <c r="L9" s="72">
        <v>257000</v>
      </c>
      <c r="M9" s="16">
        <f>K9*L9</f>
        <v>1542000</v>
      </c>
      <c r="N9" s="16">
        <f>IF(J9=0,"-",ROUND(M9/J9,0))</f>
        <v>17</v>
      </c>
      <c r="O9" s="8"/>
      <c r="Q9" s="103" t="s">
        <v>115</v>
      </c>
    </row>
    <row r="10" spans="2:15" ht="10.5">
      <c r="B10" s="7"/>
      <c r="C10" s="14">
        <f>C9+1</f>
        <v>2</v>
      </c>
      <c r="D10" s="71" t="str">
        <f>'Себестоимость 1 машино-часа'!D11</f>
        <v>Fiat Doblo 1,9JTD</v>
      </c>
      <c r="E10" s="41" t="str">
        <f>'Себестоимость 1 машино-часа'!E11</f>
        <v>77 kW</v>
      </c>
      <c r="F10" s="41" t="str">
        <f>'Себестоимость 1 машино-часа'!F11</f>
        <v>5642 ВВ-5</v>
      </c>
      <c r="G10" s="41" t="str">
        <f>'Себестоимость 1 машино-часа'!G11</f>
        <v>Трансп. цех</v>
      </c>
      <c r="H10" s="72" t="s">
        <v>467</v>
      </c>
      <c r="I10" s="61" t="s">
        <v>175</v>
      </c>
      <c r="J10" s="72">
        <v>90000</v>
      </c>
      <c r="K10" s="72">
        <v>6</v>
      </c>
      <c r="L10" s="72">
        <v>242000</v>
      </c>
      <c r="M10" s="16">
        <f aca="true" t="shared" si="0" ref="M10:M29">K10*L10</f>
        <v>1452000</v>
      </c>
      <c r="N10" s="16">
        <f aca="true" t="shared" si="1" ref="N10:N29">IF(J10=0,"-",ROUND(M10/J10,0))</f>
        <v>16</v>
      </c>
      <c r="O10" s="8"/>
    </row>
    <row r="11" spans="2:17" ht="15">
      <c r="B11" s="7"/>
      <c r="C11" s="14">
        <f aca="true" t="shared" si="2" ref="C11:C29">C10+1</f>
        <v>3</v>
      </c>
      <c r="D11" s="71" t="str">
        <f>'Себестоимость 1 машино-часа'!D12</f>
        <v>Mercedes Benz Vito 108  2,1CDi</v>
      </c>
      <c r="E11" s="41" t="str">
        <f>'Себестоимость 1 машино-часа'!E12</f>
        <v>58 kW</v>
      </c>
      <c r="F11" s="41" t="str">
        <f>'Себестоимость 1 машино-часа'!F12</f>
        <v>4455 EA-5</v>
      </c>
      <c r="G11" s="41" t="str">
        <f>'Себестоимость 1 машино-часа'!G12</f>
        <v>Трансп. цех</v>
      </c>
      <c r="H11" s="72" t="s">
        <v>468</v>
      </c>
      <c r="I11" s="61" t="s">
        <v>176</v>
      </c>
      <c r="J11" s="72">
        <v>90000</v>
      </c>
      <c r="K11" s="72">
        <v>6</v>
      </c>
      <c r="L11" s="72">
        <v>185000</v>
      </c>
      <c r="M11" s="16">
        <f t="shared" si="0"/>
        <v>1110000</v>
      </c>
      <c r="N11" s="16">
        <f t="shared" si="1"/>
        <v>12</v>
      </c>
      <c r="O11" s="8"/>
      <c r="Q11" s="103" t="s">
        <v>443</v>
      </c>
    </row>
    <row r="12" spans="2:17" ht="15">
      <c r="B12" s="7"/>
      <c r="C12" s="14">
        <f t="shared" si="2"/>
        <v>4</v>
      </c>
      <c r="D12" s="71" t="str">
        <f>'Себестоимость 1 машино-часа'!D13</f>
        <v>Renault Kangoo 1,9D</v>
      </c>
      <c r="E12" s="41" t="str">
        <f>'Себестоимость 1 машино-часа'!E13</f>
        <v>47 kW</v>
      </c>
      <c r="F12" s="41" t="str">
        <f>'Себестоимость 1 машино-часа'!F13</f>
        <v>4785 AX-5</v>
      </c>
      <c r="G12" s="41" t="str">
        <f>'Себестоимость 1 машино-часа'!G13</f>
        <v>Трансп. цех</v>
      </c>
      <c r="H12" s="72" t="s">
        <v>467</v>
      </c>
      <c r="I12" s="61" t="s">
        <v>175</v>
      </c>
      <c r="J12" s="72">
        <v>90000</v>
      </c>
      <c r="K12" s="72">
        <v>6</v>
      </c>
      <c r="L12" s="72">
        <v>242000</v>
      </c>
      <c r="M12" s="16">
        <f t="shared" si="0"/>
        <v>1452000</v>
      </c>
      <c r="N12" s="16">
        <f t="shared" si="1"/>
        <v>16</v>
      </c>
      <c r="O12" s="8"/>
      <c r="Q12" s="103" t="s">
        <v>444</v>
      </c>
    </row>
    <row r="13" spans="2:17" ht="15">
      <c r="B13" s="7"/>
      <c r="C13" s="14">
        <f t="shared" si="2"/>
        <v>5</v>
      </c>
      <c r="D13" s="71" t="str">
        <f>'Себестоимость 1 машино-часа'!D14</f>
        <v>ГАЗ-27527</v>
      </c>
      <c r="E13" s="41" t="str">
        <f>'Себестоимость 1 машино-часа'!E14</f>
        <v>ЗМЗ-40522R</v>
      </c>
      <c r="F13" s="41" t="str">
        <f>'Себестоимость 1 машино-часа'!F14</f>
        <v>2210 KK-5</v>
      </c>
      <c r="G13" s="41" t="str">
        <f>'Себестоимость 1 машино-часа'!G14</f>
        <v>Трансп. цех</v>
      </c>
      <c r="H13" s="72" t="s">
        <v>469</v>
      </c>
      <c r="I13" s="61" t="s">
        <v>176</v>
      </c>
      <c r="J13" s="72">
        <v>90000</v>
      </c>
      <c r="K13" s="72">
        <v>6</v>
      </c>
      <c r="L13" s="72">
        <v>185000</v>
      </c>
      <c r="M13" s="16">
        <f t="shared" si="0"/>
        <v>1110000</v>
      </c>
      <c r="N13" s="16">
        <f t="shared" si="1"/>
        <v>12</v>
      </c>
      <c r="O13" s="8"/>
      <c r="Q13" s="103" t="s">
        <v>446</v>
      </c>
    </row>
    <row r="14" spans="2:17" ht="15">
      <c r="B14" s="7"/>
      <c r="C14" s="14">
        <f t="shared" si="2"/>
        <v>6</v>
      </c>
      <c r="D14" s="71">
        <f>'Себестоимость 1 машино-часа'!D15</f>
        <v>0</v>
      </c>
      <c r="E14" s="41">
        <f>'Себестоимость 1 машино-часа'!E15</f>
        <v>0</v>
      </c>
      <c r="F14" s="41">
        <f>'Себестоимость 1 машино-часа'!F15</f>
        <v>0</v>
      </c>
      <c r="G14" s="41">
        <f>'Себестоимость 1 машино-часа'!G15</f>
        <v>0</v>
      </c>
      <c r="H14" s="72"/>
      <c r="I14" s="16"/>
      <c r="J14" s="16"/>
      <c r="K14" s="16"/>
      <c r="L14" s="74"/>
      <c r="M14" s="16">
        <f t="shared" si="0"/>
        <v>0</v>
      </c>
      <c r="N14" s="16" t="str">
        <f t="shared" si="1"/>
        <v>-</v>
      </c>
      <c r="O14" s="8"/>
      <c r="Q14" s="103" t="s">
        <v>447</v>
      </c>
    </row>
    <row r="15" spans="2:17" ht="15">
      <c r="B15" s="7"/>
      <c r="C15" s="14">
        <f t="shared" si="2"/>
        <v>7</v>
      </c>
      <c r="D15" s="71">
        <f>'Себестоимость 1 машино-часа'!D16</f>
        <v>0</v>
      </c>
      <c r="E15" s="41">
        <f>'Себестоимость 1 машино-часа'!E16</f>
        <v>0</v>
      </c>
      <c r="F15" s="41">
        <f>'Себестоимость 1 машино-часа'!F16</f>
        <v>0</v>
      </c>
      <c r="G15" s="41">
        <f>'Себестоимость 1 машино-часа'!G16</f>
        <v>0</v>
      </c>
      <c r="H15" s="72"/>
      <c r="I15" s="16"/>
      <c r="J15" s="16"/>
      <c r="K15" s="16"/>
      <c r="L15" s="74"/>
      <c r="M15" s="16">
        <f t="shared" si="0"/>
        <v>0</v>
      </c>
      <c r="N15" s="16" t="str">
        <f t="shared" si="1"/>
        <v>-</v>
      </c>
      <c r="O15" s="8"/>
      <c r="Q15" s="103" t="s">
        <v>448</v>
      </c>
    </row>
    <row r="16" spans="2:17" ht="15">
      <c r="B16" s="7"/>
      <c r="C16" s="14">
        <f t="shared" si="2"/>
        <v>8</v>
      </c>
      <c r="D16" s="71">
        <f>'Себестоимость 1 машино-часа'!D17</f>
        <v>0</v>
      </c>
      <c r="E16" s="41">
        <f>'Себестоимость 1 машино-часа'!E17</f>
        <v>0</v>
      </c>
      <c r="F16" s="41">
        <f>'Себестоимость 1 машино-часа'!F17</f>
        <v>0</v>
      </c>
      <c r="G16" s="41">
        <f>'Себестоимость 1 машино-часа'!G17</f>
        <v>0</v>
      </c>
      <c r="H16" s="72"/>
      <c r="I16" s="16"/>
      <c r="J16" s="16"/>
      <c r="K16" s="16"/>
      <c r="L16" s="74"/>
      <c r="M16" s="16">
        <f t="shared" si="0"/>
        <v>0</v>
      </c>
      <c r="N16" s="16" t="str">
        <f t="shared" si="1"/>
        <v>-</v>
      </c>
      <c r="O16" s="8"/>
      <c r="Q16" s="103" t="s">
        <v>449</v>
      </c>
    </row>
    <row r="17" spans="2:15" ht="10.5">
      <c r="B17" s="7"/>
      <c r="C17" s="14">
        <f t="shared" si="2"/>
        <v>9</v>
      </c>
      <c r="D17" s="71">
        <f>'Себестоимость 1 машино-часа'!D18</f>
        <v>0</v>
      </c>
      <c r="E17" s="41">
        <f>'Себестоимость 1 машино-часа'!E18</f>
        <v>0</v>
      </c>
      <c r="F17" s="41">
        <f>'Себестоимость 1 машино-часа'!F18</f>
        <v>0</v>
      </c>
      <c r="G17" s="41">
        <f>'Себестоимость 1 машино-часа'!G18</f>
        <v>0</v>
      </c>
      <c r="H17" s="72"/>
      <c r="I17" s="16"/>
      <c r="J17" s="16"/>
      <c r="K17" s="16"/>
      <c r="L17" s="74"/>
      <c r="M17" s="16">
        <f t="shared" si="0"/>
        <v>0</v>
      </c>
      <c r="N17" s="16" t="str">
        <f t="shared" si="1"/>
        <v>-</v>
      </c>
      <c r="O17" s="8"/>
    </row>
    <row r="18" spans="2:15" ht="10.5">
      <c r="B18" s="7"/>
      <c r="C18" s="14">
        <f t="shared" si="2"/>
        <v>10</v>
      </c>
      <c r="D18" s="71">
        <f>'Себестоимость 1 машино-часа'!D19</f>
        <v>0</v>
      </c>
      <c r="E18" s="41">
        <f>'Себестоимость 1 машино-часа'!E19</f>
        <v>0</v>
      </c>
      <c r="F18" s="41">
        <f>'Себестоимость 1 машино-часа'!F19</f>
        <v>0</v>
      </c>
      <c r="G18" s="41">
        <f>'Себестоимость 1 машино-часа'!G19</f>
        <v>0</v>
      </c>
      <c r="H18" s="72"/>
      <c r="I18" s="16"/>
      <c r="J18" s="16"/>
      <c r="K18" s="16"/>
      <c r="L18" s="74"/>
      <c r="M18" s="16">
        <f t="shared" si="0"/>
        <v>0</v>
      </c>
      <c r="N18" s="16" t="str">
        <f t="shared" si="1"/>
        <v>-</v>
      </c>
      <c r="O18" s="8"/>
    </row>
    <row r="19" spans="2:17" ht="15">
      <c r="B19" s="7"/>
      <c r="C19" s="14">
        <f t="shared" si="2"/>
        <v>11</v>
      </c>
      <c r="D19" s="71">
        <f>'Себестоимость 1 машино-часа'!D20</f>
        <v>0</v>
      </c>
      <c r="E19" s="41">
        <f>'Себестоимость 1 машино-часа'!E20</f>
        <v>0</v>
      </c>
      <c r="F19" s="41">
        <f>'Себестоимость 1 машино-часа'!F20</f>
        <v>0</v>
      </c>
      <c r="G19" s="41">
        <f>'Себестоимость 1 машино-часа'!G20</f>
        <v>0</v>
      </c>
      <c r="H19" s="72"/>
      <c r="I19" s="16"/>
      <c r="J19" s="16"/>
      <c r="K19" s="16"/>
      <c r="L19" s="74"/>
      <c r="M19" s="16">
        <f t="shared" si="0"/>
        <v>0</v>
      </c>
      <c r="N19" s="16" t="str">
        <f t="shared" si="1"/>
        <v>-</v>
      </c>
      <c r="O19" s="8"/>
      <c r="Q19" s="103" t="s">
        <v>450</v>
      </c>
    </row>
    <row r="20" spans="2:17" ht="15">
      <c r="B20" s="7"/>
      <c r="C20" s="14">
        <f t="shared" si="2"/>
        <v>12</v>
      </c>
      <c r="D20" s="71">
        <f>'Себестоимость 1 машино-часа'!D21</f>
        <v>0</v>
      </c>
      <c r="E20" s="41">
        <f>'Себестоимость 1 машино-часа'!E21</f>
        <v>0</v>
      </c>
      <c r="F20" s="41">
        <f>'Себестоимость 1 машино-часа'!F21</f>
        <v>0</v>
      </c>
      <c r="G20" s="41">
        <f>'Себестоимость 1 машино-часа'!G21</f>
        <v>0</v>
      </c>
      <c r="H20" s="72"/>
      <c r="I20" s="16"/>
      <c r="J20" s="16"/>
      <c r="K20" s="16"/>
      <c r="L20" s="74"/>
      <c r="M20" s="16">
        <f t="shared" si="0"/>
        <v>0</v>
      </c>
      <c r="N20" s="16" t="str">
        <f t="shared" si="1"/>
        <v>-</v>
      </c>
      <c r="O20" s="8"/>
      <c r="Q20" s="103" t="s">
        <v>410</v>
      </c>
    </row>
    <row r="21" spans="2:15" ht="10.5">
      <c r="B21" s="7"/>
      <c r="C21" s="14">
        <f t="shared" si="2"/>
        <v>13</v>
      </c>
      <c r="D21" s="71">
        <f>'Себестоимость 1 машино-часа'!D22</f>
        <v>0</v>
      </c>
      <c r="E21" s="41">
        <f>'Себестоимость 1 машино-часа'!E22</f>
        <v>0</v>
      </c>
      <c r="F21" s="41">
        <f>'Себестоимость 1 машино-часа'!F22</f>
        <v>0</v>
      </c>
      <c r="G21" s="41">
        <f>'Себестоимость 1 машино-часа'!G22</f>
        <v>0</v>
      </c>
      <c r="H21" s="72"/>
      <c r="I21" s="16"/>
      <c r="J21" s="16"/>
      <c r="K21" s="16"/>
      <c r="L21" s="74"/>
      <c r="M21" s="16">
        <f t="shared" si="0"/>
        <v>0</v>
      </c>
      <c r="N21" s="16" t="str">
        <f t="shared" si="1"/>
        <v>-</v>
      </c>
      <c r="O21" s="8"/>
    </row>
    <row r="22" spans="2:15" ht="10.5">
      <c r="B22" s="7"/>
      <c r="C22" s="14">
        <f t="shared" si="2"/>
        <v>14</v>
      </c>
      <c r="D22" s="71">
        <f>'Себестоимость 1 машино-часа'!D23</f>
        <v>0</v>
      </c>
      <c r="E22" s="41">
        <f>'Себестоимость 1 машино-часа'!E23</f>
        <v>0</v>
      </c>
      <c r="F22" s="41">
        <f>'Себестоимость 1 машино-часа'!F23</f>
        <v>0</v>
      </c>
      <c r="G22" s="41">
        <f>'Себестоимость 1 машино-часа'!G23</f>
        <v>0</v>
      </c>
      <c r="H22" s="72"/>
      <c r="I22" s="16"/>
      <c r="J22" s="16"/>
      <c r="K22" s="16"/>
      <c r="L22" s="74"/>
      <c r="M22" s="16">
        <f t="shared" si="0"/>
        <v>0</v>
      </c>
      <c r="N22" s="16" t="str">
        <f t="shared" si="1"/>
        <v>-</v>
      </c>
      <c r="O22" s="8"/>
    </row>
    <row r="23" spans="2:15" ht="10.5">
      <c r="B23" s="7"/>
      <c r="C23" s="14">
        <f t="shared" si="2"/>
        <v>15</v>
      </c>
      <c r="D23" s="71">
        <f>'Себестоимость 1 машино-часа'!D24</f>
        <v>0</v>
      </c>
      <c r="E23" s="41">
        <f>'Себестоимость 1 машино-часа'!E24</f>
        <v>0</v>
      </c>
      <c r="F23" s="41">
        <f>'Себестоимость 1 машино-часа'!F24</f>
        <v>0</v>
      </c>
      <c r="G23" s="41">
        <f>'Себестоимость 1 машино-часа'!G24</f>
        <v>0</v>
      </c>
      <c r="H23" s="72"/>
      <c r="I23" s="16"/>
      <c r="J23" s="16"/>
      <c r="K23" s="16"/>
      <c r="L23" s="74"/>
      <c r="M23" s="16">
        <f t="shared" si="0"/>
        <v>0</v>
      </c>
      <c r="N23" s="16" t="str">
        <f t="shared" si="1"/>
        <v>-</v>
      </c>
      <c r="O23" s="8"/>
    </row>
    <row r="24" spans="2:15" ht="10.5">
      <c r="B24" s="7"/>
      <c r="C24" s="14">
        <f t="shared" si="2"/>
        <v>16</v>
      </c>
      <c r="D24" s="71">
        <f>'Себестоимость 1 машино-часа'!D25</f>
        <v>0</v>
      </c>
      <c r="E24" s="41">
        <f>'Себестоимость 1 машино-часа'!E25</f>
        <v>0</v>
      </c>
      <c r="F24" s="41">
        <f>'Себестоимость 1 машино-часа'!F25</f>
        <v>0</v>
      </c>
      <c r="G24" s="41">
        <f>'Себестоимость 1 машино-часа'!G25</f>
        <v>0</v>
      </c>
      <c r="H24" s="72"/>
      <c r="I24" s="16"/>
      <c r="J24" s="16"/>
      <c r="K24" s="16"/>
      <c r="L24" s="74"/>
      <c r="M24" s="16">
        <f t="shared" si="0"/>
        <v>0</v>
      </c>
      <c r="N24" s="16" t="str">
        <f t="shared" si="1"/>
        <v>-</v>
      </c>
      <c r="O24" s="8"/>
    </row>
    <row r="25" spans="2:15" ht="10.5">
      <c r="B25" s="7"/>
      <c r="C25" s="14">
        <f t="shared" si="2"/>
        <v>17</v>
      </c>
      <c r="D25" s="71">
        <f>'Себестоимость 1 машино-часа'!D26</f>
        <v>0</v>
      </c>
      <c r="E25" s="41">
        <f>'Себестоимость 1 машино-часа'!E26</f>
        <v>0</v>
      </c>
      <c r="F25" s="41">
        <f>'Себестоимость 1 машино-часа'!F26</f>
        <v>0</v>
      </c>
      <c r="G25" s="41">
        <f>'Себестоимость 1 машино-часа'!G26</f>
        <v>0</v>
      </c>
      <c r="H25" s="72"/>
      <c r="I25" s="16"/>
      <c r="J25" s="16"/>
      <c r="K25" s="16"/>
      <c r="L25" s="74"/>
      <c r="M25" s="16">
        <f t="shared" si="0"/>
        <v>0</v>
      </c>
      <c r="N25" s="16" t="str">
        <f t="shared" si="1"/>
        <v>-</v>
      </c>
      <c r="O25" s="8"/>
    </row>
    <row r="26" spans="2:15" ht="10.5">
      <c r="B26" s="7"/>
      <c r="C26" s="14">
        <f t="shared" si="2"/>
        <v>18</v>
      </c>
      <c r="D26" s="71">
        <f>'Себестоимость 1 машино-часа'!D27</f>
        <v>0</v>
      </c>
      <c r="E26" s="41">
        <f>'Себестоимость 1 машино-часа'!E27</f>
        <v>0</v>
      </c>
      <c r="F26" s="41">
        <f>'Себестоимость 1 машино-часа'!F27</f>
        <v>0</v>
      </c>
      <c r="G26" s="41">
        <f>'Себестоимость 1 машино-часа'!G27</f>
        <v>0</v>
      </c>
      <c r="H26" s="72"/>
      <c r="I26" s="16"/>
      <c r="J26" s="16"/>
      <c r="K26" s="16"/>
      <c r="L26" s="74"/>
      <c r="M26" s="16">
        <f t="shared" si="0"/>
        <v>0</v>
      </c>
      <c r="N26" s="16" t="str">
        <f t="shared" si="1"/>
        <v>-</v>
      </c>
      <c r="O26" s="8"/>
    </row>
    <row r="27" spans="2:15" ht="10.5">
      <c r="B27" s="7"/>
      <c r="C27" s="14">
        <f t="shared" si="2"/>
        <v>19</v>
      </c>
      <c r="D27" s="71">
        <f>'Себестоимость 1 машино-часа'!D28</f>
        <v>0</v>
      </c>
      <c r="E27" s="41">
        <f>'Себестоимость 1 машино-часа'!E28</f>
        <v>0</v>
      </c>
      <c r="F27" s="41">
        <f>'Себестоимость 1 машино-часа'!F28</f>
        <v>0</v>
      </c>
      <c r="G27" s="41">
        <f>'Себестоимость 1 машино-часа'!G28</f>
        <v>0</v>
      </c>
      <c r="H27" s="72"/>
      <c r="I27" s="16"/>
      <c r="J27" s="16"/>
      <c r="K27" s="16"/>
      <c r="L27" s="74"/>
      <c r="M27" s="16">
        <f t="shared" si="0"/>
        <v>0</v>
      </c>
      <c r="N27" s="16" t="str">
        <f t="shared" si="1"/>
        <v>-</v>
      </c>
      <c r="O27" s="8"/>
    </row>
    <row r="28" spans="2:15" ht="10.5">
      <c r="B28" s="7"/>
      <c r="C28" s="14">
        <f t="shared" si="2"/>
        <v>20</v>
      </c>
      <c r="D28" s="71">
        <f>'Себестоимость 1 машино-часа'!D29</f>
        <v>0</v>
      </c>
      <c r="E28" s="41">
        <f>'Себестоимость 1 машино-часа'!E29</f>
        <v>0</v>
      </c>
      <c r="F28" s="41">
        <f>'Себестоимость 1 машино-часа'!F29</f>
        <v>0</v>
      </c>
      <c r="G28" s="41">
        <f>'Себестоимость 1 машино-часа'!G29</f>
        <v>0</v>
      </c>
      <c r="H28" s="72"/>
      <c r="I28" s="16"/>
      <c r="J28" s="16"/>
      <c r="K28" s="16"/>
      <c r="L28" s="74"/>
      <c r="M28" s="16">
        <f t="shared" si="0"/>
        <v>0</v>
      </c>
      <c r="N28" s="16" t="str">
        <f t="shared" si="1"/>
        <v>-</v>
      </c>
      <c r="O28" s="8"/>
    </row>
    <row r="29" spans="2:15" ht="10.5">
      <c r="B29" s="7"/>
      <c r="C29" s="14">
        <f t="shared" si="2"/>
        <v>21</v>
      </c>
      <c r="D29" s="71">
        <f>'Себестоимость 1 машино-часа'!D30</f>
        <v>0</v>
      </c>
      <c r="E29" s="41">
        <f>'Себестоимость 1 машино-часа'!E30</f>
        <v>0</v>
      </c>
      <c r="F29" s="41">
        <f>'Себестоимость 1 машино-часа'!F30</f>
        <v>0</v>
      </c>
      <c r="G29" s="41">
        <f>'Себестоимость 1 машино-часа'!G30</f>
        <v>0</v>
      </c>
      <c r="H29" s="72"/>
      <c r="I29" s="16"/>
      <c r="J29" s="16"/>
      <c r="K29" s="16"/>
      <c r="L29" s="74"/>
      <c r="M29" s="16">
        <f t="shared" si="0"/>
        <v>0</v>
      </c>
      <c r="N29" s="16" t="str">
        <f t="shared" si="1"/>
        <v>-</v>
      </c>
      <c r="O29" s="8"/>
    </row>
    <row r="30" spans="2:15" ht="10.5"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</row>
    <row r="31" spans="2:55" ht="11.25" thickBo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9:55" ht="10.5">
      <c r="S32" s="28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30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3:55" ht="10.5">
      <c r="C33" s="31"/>
      <c r="D33" s="31"/>
      <c r="S33" s="28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3:4" ht="10.5">
      <c r="C34" s="31"/>
      <c r="D34" s="31"/>
    </row>
    <row r="37" ht="10.5">
      <c r="Q37" s="23"/>
    </row>
  </sheetData>
  <sheetProtection/>
  <mergeCells count="3">
    <mergeCell ref="C4:N4"/>
    <mergeCell ref="C5:N5"/>
    <mergeCell ref="C6:N6"/>
  </mergeCells>
  <hyperlinks>
    <hyperlink ref="Q4" location="'Калькуляция машино-часа'!A1" display="Калькуляция стоимости 1 часа использования"/>
    <hyperlink ref="Q5" location="'Себестоимость 1 машино-часа'!A1" display="Расчет  себестоимости 1 часа использования"/>
    <hyperlink ref="Q6" location="'ЗП водителей'!A1" display="Расчет затрат на заработную плату водителей"/>
    <hyperlink ref="Q7" location="амортизация!A1" display="Расчет амортизационных отчислений"/>
    <hyperlink ref="Q8" location="'расчет % ОПР'!A1" display="Расчет процента общепроизводственных расходов"/>
    <hyperlink ref="Q9" location="'расчет % ОХР'!A1" display="Расчет процента общехозяйственных расходов"/>
    <hyperlink ref="Q11" location="'Калькуляция 1 км'!A1" display="Калькуляция стоимости 1 км пробега (с топливом)"/>
    <hyperlink ref="Q12" location="'Калькуляция 1 км (без топлива)'!A1" display="Калькуляция стоимости 1 км пробега (без топлива)"/>
    <hyperlink ref="Q13" location="'Себестоимость 1 км'!A1" display="Расчет себестоимости 1 часа использования"/>
    <hyperlink ref="Q14" location="техобслуживание!A1" display="Расчет затрат на техническое обслуживание на 1 км пробега автотранспорта"/>
    <hyperlink ref="Q15" location="топливо!A1" display="Расчет затрат на топливо на 1 км пробега автотранспорта"/>
    <hyperlink ref="Q16" location="'Затраты на восстановление шин'!A1" display="Расчет  затрат на восстановление шин на 1 км пробега автотранспорта"/>
    <hyperlink ref="Q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Q20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6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X563"/>
  <sheetViews>
    <sheetView showGridLines="0" workbookViewId="0" topLeftCell="A1">
      <selection activeCell="M31" sqref="M31"/>
    </sheetView>
  </sheetViews>
  <sheetFormatPr defaultColWidth="9.140625" defaultRowHeight="15"/>
  <cols>
    <col min="1" max="1" width="3.140625" style="81" customWidth="1"/>
    <col min="2" max="2" width="3.57421875" style="80" customWidth="1"/>
    <col min="3" max="3" width="36.57421875" style="80" customWidth="1"/>
    <col min="4" max="4" width="10.140625" style="80" customWidth="1"/>
    <col min="5" max="5" width="11.28125" style="80" customWidth="1"/>
    <col min="6" max="6" width="12.421875" style="80" customWidth="1"/>
    <col min="7" max="7" width="16.140625" style="80" customWidth="1"/>
    <col min="8" max="8" width="16.8515625" style="80" customWidth="1"/>
    <col min="9" max="9" width="13.8515625" style="80" customWidth="1"/>
    <col min="10" max="10" width="12.7109375" style="80" customWidth="1"/>
    <col min="11" max="11" width="2.57421875" style="80" customWidth="1"/>
    <col min="12" max="12" width="1.421875" style="80" customWidth="1"/>
    <col min="13" max="13" width="73.28125" style="1" customWidth="1"/>
    <col min="14" max="16384" width="9.140625" style="80" customWidth="1"/>
  </cols>
  <sheetData>
    <row r="1" spans="1:2" ht="11.25" thickBot="1">
      <c r="A1" s="80"/>
      <c r="B1" s="2" t="s">
        <v>0</v>
      </c>
    </row>
    <row r="2" spans="2:11" ht="12.75">
      <c r="B2" s="82"/>
      <c r="C2" s="83"/>
      <c r="D2" s="83"/>
      <c r="E2" s="83"/>
      <c r="F2" s="83"/>
      <c r="G2" s="83"/>
      <c r="H2" s="83"/>
      <c r="I2" s="83"/>
      <c r="J2" s="94"/>
      <c r="K2" s="84"/>
    </row>
    <row r="3" spans="2:11" ht="12.75">
      <c r="B3" s="85"/>
      <c r="C3" s="141" t="s">
        <v>300</v>
      </c>
      <c r="D3" s="141"/>
      <c r="E3" s="141"/>
      <c r="F3" s="141"/>
      <c r="G3" s="141"/>
      <c r="H3" s="141"/>
      <c r="I3" s="141"/>
      <c r="J3" s="141"/>
      <c r="K3" s="86"/>
    </row>
    <row r="4" spans="2:13" ht="15" customHeight="1">
      <c r="B4" s="85"/>
      <c r="C4" s="109" t="s">
        <v>301</v>
      </c>
      <c r="D4" s="109"/>
      <c r="E4" s="109"/>
      <c r="F4" s="109"/>
      <c r="G4" s="109"/>
      <c r="H4" s="109"/>
      <c r="I4" s="109"/>
      <c r="J4" s="109"/>
      <c r="K4" s="86"/>
      <c r="M4" s="103" t="s">
        <v>439</v>
      </c>
    </row>
    <row r="5" spans="2:13" ht="15">
      <c r="B5" s="85"/>
      <c r="C5" s="118"/>
      <c r="D5" s="118"/>
      <c r="E5" s="118"/>
      <c r="F5" s="118"/>
      <c r="G5" s="118"/>
      <c r="H5" s="118"/>
      <c r="I5" s="118"/>
      <c r="J5" s="9"/>
      <c r="K5" s="86"/>
      <c r="M5" s="103" t="s">
        <v>440</v>
      </c>
    </row>
    <row r="6" spans="2:13" ht="15">
      <c r="B6" s="85"/>
      <c r="C6" s="140" t="s">
        <v>402</v>
      </c>
      <c r="D6" s="140"/>
      <c r="E6" s="140"/>
      <c r="F6" s="140"/>
      <c r="G6" s="140"/>
      <c r="H6" s="140"/>
      <c r="I6" s="140"/>
      <c r="J6" s="140"/>
      <c r="K6" s="86"/>
      <c r="M6" s="103" t="s">
        <v>441</v>
      </c>
    </row>
    <row r="7" spans="2:13" ht="15">
      <c r="B7" s="85"/>
      <c r="C7" s="140" t="s">
        <v>401</v>
      </c>
      <c r="D7" s="140"/>
      <c r="E7" s="140"/>
      <c r="F7" s="140"/>
      <c r="G7" s="140"/>
      <c r="H7" s="140"/>
      <c r="I7" s="140"/>
      <c r="J7" s="140"/>
      <c r="K7" s="86"/>
      <c r="M7" s="103" t="s">
        <v>442</v>
      </c>
    </row>
    <row r="8" spans="2:13" ht="15">
      <c r="B8" s="102"/>
      <c r="C8" s="93"/>
      <c r="D8" s="93"/>
      <c r="E8" s="93"/>
      <c r="F8" s="93"/>
      <c r="G8" s="93"/>
      <c r="H8" s="93"/>
      <c r="I8" s="93"/>
      <c r="J8" s="93"/>
      <c r="K8" s="86"/>
      <c r="M8" s="103" t="s">
        <v>99</v>
      </c>
    </row>
    <row r="9" spans="2:13" ht="30">
      <c r="B9" s="102"/>
      <c r="C9" s="101" t="s">
        <v>403</v>
      </c>
      <c r="D9" s="101" t="s">
        <v>405</v>
      </c>
      <c r="E9" s="93"/>
      <c r="F9" s="93"/>
      <c r="G9" s="93"/>
      <c r="H9" s="93"/>
      <c r="I9" s="93"/>
      <c r="J9" s="93"/>
      <c r="K9" s="86"/>
      <c r="M9" s="103" t="s">
        <v>115</v>
      </c>
    </row>
    <row r="10" spans="2:11" ht="15" customHeight="1">
      <c r="B10" s="102"/>
      <c r="C10" s="101" t="s">
        <v>404</v>
      </c>
      <c r="D10" s="142" t="s">
        <v>406</v>
      </c>
      <c r="E10" s="142"/>
      <c r="F10" s="142"/>
      <c r="G10" s="93"/>
      <c r="H10" s="93"/>
      <c r="I10" s="93"/>
      <c r="J10" s="93"/>
      <c r="K10" s="86"/>
    </row>
    <row r="11" spans="2:13" ht="15">
      <c r="B11" s="85"/>
      <c r="C11" s="10"/>
      <c r="D11" s="10"/>
      <c r="E11" s="10"/>
      <c r="F11" s="11"/>
      <c r="G11" s="11"/>
      <c r="H11" s="11"/>
      <c r="I11" s="11"/>
      <c r="J11" s="9"/>
      <c r="K11" s="86"/>
      <c r="M11" s="103" t="s">
        <v>443</v>
      </c>
    </row>
    <row r="12" spans="2:13" ht="15">
      <c r="B12" s="85"/>
      <c r="C12" s="132" t="s">
        <v>303</v>
      </c>
      <c r="D12" s="132" t="s">
        <v>76</v>
      </c>
      <c r="E12" s="132" t="s">
        <v>302</v>
      </c>
      <c r="F12" s="132"/>
      <c r="G12" s="132"/>
      <c r="H12" s="132"/>
      <c r="I12" s="132"/>
      <c r="J12" s="132"/>
      <c r="K12" s="86"/>
      <c r="M12" s="103" t="s">
        <v>444</v>
      </c>
    </row>
    <row r="13" spans="2:13" ht="15">
      <c r="B13" s="85"/>
      <c r="C13" s="132"/>
      <c r="D13" s="132"/>
      <c r="E13" s="91" t="s">
        <v>304</v>
      </c>
      <c r="F13" s="91" t="s">
        <v>305</v>
      </c>
      <c r="G13" s="91" t="s">
        <v>306</v>
      </c>
      <c r="H13" s="91" t="s">
        <v>307</v>
      </c>
      <c r="I13" s="91" t="s">
        <v>308</v>
      </c>
      <c r="J13" s="91" t="s">
        <v>309</v>
      </c>
      <c r="K13" s="86"/>
      <c r="M13" s="103" t="s">
        <v>446</v>
      </c>
    </row>
    <row r="14" spans="2:13" ht="15">
      <c r="B14" s="85"/>
      <c r="C14" s="91">
        <v>1</v>
      </c>
      <c r="D14" s="91">
        <v>2</v>
      </c>
      <c r="E14" s="91">
        <v>3</v>
      </c>
      <c r="F14" s="91">
        <v>4</v>
      </c>
      <c r="G14" s="91">
        <v>5</v>
      </c>
      <c r="H14" s="91">
        <v>6</v>
      </c>
      <c r="I14" s="91">
        <v>7</v>
      </c>
      <c r="J14" s="91">
        <v>8</v>
      </c>
      <c r="K14" s="86"/>
      <c r="M14" s="103" t="s">
        <v>447</v>
      </c>
    </row>
    <row r="15" spans="2:13" ht="15">
      <c r="B15" s="85"/>
      <c r="C15" s="133" t="s">
        <v>179</v>
      </c>
      <c r="D15" s="133"/>
      <c r="E15" s="133"/>
      <c r="F15" s="133"/>
      <c r="G15" s="133"/>
      <c r="H15" s="133"/>
      <c r="I15" s="133"/>
      <c r="J15" s="133"/>
      <c r="K15" s="86"/>
      <c r="M15" s="103" t="s">
        <v>448</v>
      </c>
    </row>
    <row r="16" spans="2:13" ht="15">
      <c r="B16" s="85"/>
      <c r="C16" s="131" t="s">
        <v>180</v>
      </c>
      <c r="D16" s="92" t="s">
        <v>181</v>
      </c>
      <c r="E16" s="92">
        <v>47.9</v>
      </c>
      <c r="F16" s="92">
        <v>89.4</v>
      </c>
      <c r="G16" s="92">
        <v>107.5</v>
      </c>
      <c r="H16" s="92" t="s">
        <v>182</v>
      </c>
      <c r="I16" s="92" t="s">
        <v>182</v>
      </c>
      <c r="J16" s="92" t="s">
        <v>182</v>
      </c>
      <c r="K16" s="86"/>
      <c r="M16" s="103" t="s">
        <v>449</v>
      </c>
    </row>
    <row r="17" spans="2:11" ht="11.25">
      <c r="B17" s="85"/>
      <c r="C17" s="131"/>
      <c r="D17" s="92" t="s">
        <v>183</v>
      </c>
      <c r="E17" s="92">
        <v>9267</v>
      </c>
      <c r="F17" s="92">
        <v>19403</v>
      </c>
      <c r="G17" s="92">
        <v>27924</v>
      </c>
      <c r="H17" s="92" t="s">
        <v>182</v>
      </c>
      <c r="I17" s="92" t="s">
        <v>182</v>
      </c>
      <c r="J17" s="92" t="s">
        <v>182</v>
      </c>
      <c r="K17" s="86"/>
    </row>
    <row r="18" spans="2:11" ht="11.25">
      <c r="B18" s="85"/>
      <c r="C18" s="131"/>
      <c r="D18" s="92" t="s">
        <v>184</v>
      </c>
      <c r="E18" s="92">
        <v>3.06</v>
      </c>
      <c r="F18" s="92">
        <v>3.77</v>
      </c>
      <c r="G18" s="92">
        <v>3.95</v>
      </c>
      <c r="H18" s="92" t="s">
        <v>182</v>
      </c>
      <c r="I18" s="92" t="s">
        <v>182</v>
      </c>
      <c r="J18" s="92" t="s">
        <v>182</v>
      </c>
      <c r="K18" s="86"/>
    </row>
    <row r="19" spans="2:13" ht="15">
      <c r="B19" s="85"/>
      <c r="C19" s="131" t="s">
        <v>185</v>
      </c>
      <c r="D19" s="92" t="s">
        <v>181</v>
      </c>
      <c r="E19" s="92">
        <v>61.3</v>
      </c>
      <c r="F19" s="92">
        <v>89.2</v>
      </c>
      <c r="G19" s="92">
        <v>118.4</v>
      </c>
      <c r="H19" s="92" t="s">
        <v>182</v>
      </c>
      <c r="I19" s="92" t="s">
        <v>182</v>
      </c>
      <c r="J19" s="92" t="s">
        <v>182</v>
      </c>
      <c r="K19" s="86"/>
      <c r="M19" s="103" t="s">
        <v>450</v>
      </c>
    </row>
    <row r="20" spans="2:13" ht="15">
      <c r="B20" s="85"/>
      <c r="C20" s="131"/>
      <c r="D20" s="92" t="s">
        <v>183</v>
      </c>
      <c r="E20" s="92">
        <v>13365</v>
      </c>
      <c r="F20" s="92">
        <v>23078</v>
      </c>
      <c r="G20" s="92">
        <v>37626</v>
      </c>
      <c r="H20" s="92" t="s">
        <v>182</v>
      </c>
      <c r="I20" s="92" t="s">
        <v>182</v>
      </c>
      <c r="J20" s="92" t="s">
        <v>182</v>
      </c>
      <c r="K20" s="86"/>
      <c r="M20" s="103" t="s">
        <v>410</v>
      </c>
    </row>
    <row r="21" spans="2:11" ht="11.25">
      <c r="B21" s="85"/>
      <c r="C21" s="131"/>
      <c r="D21" s="92" t="s">
        <v>184</v>
      </c>
      <c r="E21" s="92">
        <v>3.08</v>
      </c>
      <c r="F21" s="92">
        <v>3.96</v>
      </c>
      <c r="G21" s="92">
        <v>4.16</v>
      </c>
      <c r="H21" s="92" t="s">
        <v>182</v>
      </c>
      <c r="I21" s="92" t="s">
        <v>182</v>
      </c>
      <c r="J21" s="92" t="s">
        <v>182</v>
      </c>
      <c r="K21" s="86"/>
    </row>
    <row r="22" spans="2:11" ht="11.25">
      <c r="B22" s="85"/>
      <c r="C22" s="131" t="s">
        <v>186</v>
      </c>
      <c r="D22" s="92" t="s">
        <v>181</v>
      </c>
      <c r="E22" s="92">
        <v>73.6</v>
      </c>
      <c r="F22" s="92">
        <v>125.1</v>
      </c>
      <c r="G22" s="92">
        <v>172.9</v>
      </c>
      <c r="H22" s="92" t="s">
        <v>182</v>
      </c>
      <c r="I22" s="92" t="s">
        <v>182</v>
      </c>
      <c r="J22" s="92" t="s">
        <v>182</v>
      </c>
      <c r="K22" s="86"/>
    </row>
    <row r="23" spans="2:11" ht="11.25">
      <c r="B23" s="85"/>
      <c r="C23" s="131"/>
      <c r="D23" s="92" t="s">
        <v>183</v>
      </c>
      <c r="E23" s="92">
        <v>21067</v>
      </c>
      <c r="F23" s="92">
        <v>36656</v>
      </c>
      <c r="G23" s="92">
        <v>73102</v>
      </c>
      <c r="H23" s="92" t="s">
        <v>182</v>
      </c>
      <c r="I23" s="92" t="s">
        <v>182</v>
      </c>
      <c r="J23" s="92" t="s">
        <v>182</v>
      </c>
      <c r="K23" s="86"/>
    </row>
    <row r="24" spans="2:11" ht="11.25">
      <c r="B24" s="85"/>
      <c r="C24" s="131"/>
      <c r="D24" s="92" t="s">
        <v>184</v>
      </c>
      <c r="E24" s="92">
        <v>2.7</v>
      </c>
      <c r="F24" s="92">
        <v>3.16</v>
      </c>
      <c r="G24" s="92">
        <v>3.38</v>
      </c>
      <c r="H24" s="92" t="s">
        <v>182</v>
      </c>
      <c r="I24" s="92" t="s">
        <v>182</v>
      </c>
      <c r="J24" s="92" t="s">
        <v>182</v>
      </c>
      <c r="K24" s="86"/>
    </row>
    <row r="25" spans="2:11" ht="11.25">
      <c r="B25" s="85"/>
      <c r="C25" s="131" t="s">
        <v>187</v>
      </c>
      <c r="D25" s="92" t="s">
        <v>181</v>
      </c>
      <c r="E25" s="92">
        <v>55.2</v>
      </c>
      <c r="F25" s="92">
        <v>93.8</v>
      </c>
      <c r="G25" s="92">
        <v>129.7</v>
      </c>
      <c r="H25" s="92">
        <v>155.1</v>
      </c>
      <c r="I25" s="92" t="s">
        <v>182</v>
      </c>
      <c r="J25" s="92" t="s">
        <v>182</v>
      </c>
      <c r="K25" s="86"/>
    </row>
    <row r="26" spans="2:11" ht="11.25">
      <c r="B26" s="85"/>
      <c r="C26" s="131"/>
      <c r="D26" s="92" t="s">
        <v>183</v>
      </c>
      <c r="E26" s="92">
        <v>8206</v>
      </c>
      <c r="F26" s="92">
        <v>14279</v>
      </c>
      <c r="G26" s="92">
        <v>28476</v>
      </c>
      <c r="H26" s="92">
        <v>33154</v>
      </c>
      <c r="I26" s="92" t="s">
        <v>182</v>
      </c>
      <c r="J26" s="92" t="s">
        <v>182</v>
      </c>
      <c r="K26" s="86"/>
    </row>
    <row r="27" spans="2:11" ht="11.25">
      <c r="B27" s="85"/>
      <c r="C27" s="131"/>
      <c r="D27" s="92" t="s">
        <v>184</v>
      </c>
      <c r="E27" s="92">
        <v>3.58</v>
      </c>
      <c r="F27" s="92">
        <v>4.18</v>
      </c>
      <c r="G27" s="92">
        <v>4.47</v>
      </c>
      <c r="H27" s="92">
        <v>4.8</v>
      </c>
      <c r="I27" s="92" t="s">
        <v>182</v>
      </c>
      <c r="J27" s="92" t="s">
        <v>182</v>
      </c>
      <c r="K27" s="86"/>
    </row>
    <row r="28" spans="2:11" ht="11.25">
      <c r="B28" s="85"/>
      <c r="C28" s="131" t="s">
        <v>310</v>
      </c>
      <c r="D28" s="92" t="s">
        <v>181</v>
      </c>
      <c r="E28" s="92">
        <v>56.6</v>
      </c>
      <c r="F28" s="92">
        <v>94.6</v>
      </c>
      <c r="G28" s="92">
        <v>172.7</v>
      </c>
      <c r="H28" s="92">
        <v>191</v>
      </c>
      <c r="I28" s="92" t="s">
        <v>182</v>
      </c>
      <c r="J28" s="92" t="s">
        <v>182</v>
      </c>
      <c r="K28" s="86"/>
    </row>
    <row r="29" spans="2:11" ht="11.25">
      <c r="B29" s="85"/>
      <c r="C29" s="131"/>
      <c r="D29" s="92" t="s">
        <v>183</v>
      </c>
      <c r="E29" s="92">
        <v>16705</v>
      </c>
      <c r="F29" s="92">
        <v>34693</v>
      </c>
      <c r="G29" s="92">
        <v>93631</v>
      </c>
      <c r="H29" s="92">
        <v>158076</v>
      </c>
      <c r="I29" s="92" t="s">
        <v>182</v>
      </c>
      <c r="J29" s="92" t="s">
        <v>182</v>
      </c>
      <c r="K29" s="86"/>
    </row>
    <row r="30" spans="2:11" ht="11.25">
      <c r="B30" s="85"/>
      <c r="C30" s="131"/>
      <c r="D30" s="92" t="s">
        <v>184</v>
      </c>
      <c r="E30" s="92">
        <v>3.25</v>
      </c>
      <c r="F30" s="92">
        <v>3.54</v>
      </c>
      <c r="G30" s="92">
        <v>3.84</v>
      </c>
      <c r="H30" s="92">
        <v>4.09</v>
      </c>
      <c r="I30" s="92" t="s">
        <v>182</v>
      </c>
      <c r="J30" s="92" t="s">
        <v>182</v>
      </c>
      <c r="K30" s="86"/>
    </row>
    <row r="31" spans="2:11" ht="11.25">
      <c r="B31" s="85"/>
      <c r="C31" s="131" t="s">
        <v>311</v>
      </c>
      <c r="D31" s="92" t="s">
        <v>181</v>
      </c>
      <c r="E31" s="92">
        <v>56.6</v>
      </c>
      <c r="F31" s="92">
        <v>122.8</v>
      </c>
      <c r="G31" s="92">
        <v>161</v>
      </c>
      <c r="H31" s="92">
        <v>161</v>
      </c>
      <c r="I31" s="92" t="s">
        <v>182</v>
      </c>
      <c r="J31" s="92" t="s">
        <v>182</v>
      </c>
      <c r="K31" s="86"/>
    </row>
    <row r="32" spans="2:11" ht="11.25">
      <c r="B32" s="85"/>
      <c r="C32" s="131"/>
      <c r="D32" s="92" t="s">
        <v>183</v>
      </c>
      <c r="E32" s="92">
        <v>16768</v>
      </c>
      <c r="F32" s="92">
        <v>34695</v>
      </c>
      <c r="G32" s="92">
        <v>97832</v>
      </c>
      <c r="H32" s="92">
        <v>168626</v>
      </c>
      <c r="I32" s="92" t="s">
        <v>182</v>
      </c>
      <c r="J32" s="92" t="s">
        <v>182</v>
      </c>
      <c r="K32" s="86"/>
    </row>
    <row r="33" spans="1:50" s="88" customFormat="1" ht="11.25">
      <c r="A33" s="87"/>
      <c r="B33" s="85"/>
      <c r="C33" s="131"/>
      <c r="D33" s="92" t="s">
        <v>184</v>
      </c>
      <c r="E33" s="92">
        <v>3.46</v>
      </c>
      <c r="F33" s="92">
        <v>4.04</v>
      </c>
      <c r="G33" s="92">
        <v>4.52</v>
      </c>
      <c r="H33" s="92">
        <v>4.83</v>
      </c>
      <c r="I33" s="92" t="s">
        <v>182</v>
      </c>
      <c r="J33" s="92" t="s">
        <v>182</v>
      </c>
      <c r="K33" s="86"/>
      <c r="M33" s="1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</row>
    <row r="34" spans="2:50" ht="11.25">
      <c r="B34" s="85"/>
      <c r="C34" s="131" t="s">
        <v>312</v>
      </c>
      <c r="D34" s="92" t="s">
        <v>181</v>
      </c>
      <c r="E34" s="92">
        <v>88.4</v>
      </c>
      <c r="F34" s="92">
        <v>133.1</v>
      </c>
      <c r="G34" s="92">
        <v>171.3</v>
      </c>
      <c r="H34" s="92">
        <v>171.3</v>
      </c>
      <c r="I34" s="92" t="s">
        <v>182</v>
      </c>
      <c r="J34" s="92" t="s">
        <v>182</v>
      </c>
      <c r="K34" s="86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</row>
    <row r="35" spans="2:50" ht="11.25">
      <c r="B35" s="85"/>
      <c r="C35" s="131"/>
      <c r="D35" s="92" t="s">
        <v>183</v>
      </c>
      <c r="E35" s="92">
        <v>40011</v>
      </c>
      <c r="F35" s="92">
        <v>55046</v>
      </c>
      <c r="G35" s="92">
        <v>76196</v>
      </c>
      <c r="H35" s="92">
        <v>87474</v>
      </c>
      <c r="I35" s="92" t="s">
        <v>182</v>
      </c>
      <c r="J35" s="92" t="s">
        <v>182</v>
      </c>
      <c r="K35" s="86"/>
      <c r="N35" s="90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2:50" ht="11.25">
      <c r="B36" s="85"/>
      <c r="C36" s="131"/>
      <c r="D36" s="92" t="s">
        <v>184</v>
      </c>
      <c r="E36" s="92">
        <v>3.27</v>
      </c>
      <c r="F36" s="92">
        <v>3.56</v>
      </c>
      <c r="G36" s="92">
        <v>3.72</v>
      </c>
      <c r="H36" s="92">
        <v>4.06</v>
      </c>
      <c r="I36" s="92" t="s">
        <v>182</v>
      </c>
      <c r="J36" s="92" t="s">
        <v>182</v>
      </c>
      <c r="K36" s="86"/>
      <c r="N36" s="8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  <c r="AJ36" s="30"/>
      <c r="AK36" s="30"/>
      <c r="AL36" s="30"/>
      <c r="AM36" s="30"/>
      <c r="AN36" s="30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2:50" ht="11.25">
      <c r="B37" s="85"/>
      <c r="C37" s="131" t="s">
        <v>189</v>
      </c>
      <c r="D37" s="92" t="s">
        <v>181</v>
      </c>
      <c r="E37" s="92">
        <v>88.4</v>
      </c>
      <c r="F37" s="92">
        <v>150.3</v>
      </c>
      <c r="G37" s="92">
        <v>207.7</v>
      </c>
      <c r="H37" s="92">
        <v>248.4</v>
      </c>
      <c r="I37" s="92" t="s">
        <v>182</v>
      </c>
      <c r="J37" s="92" t="s">
        <v>182</v>
      </c>
      <c r="K37" s="86"/>
      <c r="M37" s="23"/>
      <c r="N37" s="90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  <c r="AJ37" s="30"/>
      <c r="AK37" s="30"/>
      <c r="AL37" s="30"/>
      <c r="AM37" s="30"/>
      <c r="AN37" s="30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2:50" ht="11.25">
      <c r="B38" s="85"/>
      <c r="C38" s="131"/>
      <c r="D38" s="92" t="s">
        <v>183</v>
      </c>
      <c r="E38" s="92">
        <v>40396</v>
      </c>
      <c r="F38" s="92">
        <v>55576</v>
      </c>
      <c r="G38" s="92">
        <v>76930</v>
      </c>
      <c r="H38" s="92">
        <v>88317</v>
      </c>
      <c r="I38" s="92" t="s">
        <v>182</v>
      </c>
      <c r="J38" s="92" t="s">
        <v>182</v>
      </c>
      <c r="K38" s="86"/>
      <c r="N38" s="90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  <c r="AJ38" s="30"/>
      <c r="AK38" s="30"/>
      <c r="AL38" s="30"/>
      <c r="AM38" s="30"/>
      <c r="AN38" s="30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2:50" ht="11.25">
      <c r="B39" s="85"/>
      <c r="C39" s="131"/>
      <c r="D39" s="92" t="s">
        <v>184</v>
      </c>
      <c r="E39" s="92">
        <v>6.08</v>
      </c>
      <c r="F39" s="92">
        <v>7.11</v>
      </c>
      <c r="G39" s="92">
        <v>7.6</v>
      </c>
      <c r="H39" s="92">
        <v>8.15</v>
      </c>
      <c r="I39" s="92" t="s">
        <v>182</v>
      </c>
      <c r="J39" s="92" t="s">
        <v>182</v>
      </c>
      <c r="K39" s="86"/>
      <c r="N39" s="9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  <c r="AJ39" s="30"/>
      <c r="AK39" s="30"/>
      <c r="AL39" s="30"/>
      <c r="AM39" s="30"/>
      <c r="AN39" s="30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2:50" ht="11.25">
      <c r="B40" s="85"/>
      <c r="C40" s="131" t="s">
        <v>190</v>
      </c>
      <c r="D40" s="92" t="s">
        <v>181</v>
      </c>
      <c r="E40" s="92">
        <v>60.4</v>
      </c>
      <c r="F40" s="92">
        <v>100.9</v>
      </c>
      <c r="G40" s="92">
        <v>130.5</v>
      </c>
      <c r="H40" s="92">
        <v>151.6</v>
      </c>
      <c r="I40" s="92">
        <v>157.6</v>
      </c>
      <c r="J40" s="92" t="s">
        <v>182</v>
      </c>
      <c r="K40" s="86"/>
      <c r="N40" s="90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30"/>
      <c r="AK40" s="30"/>
      <c r="AL40" s="30"/>
      <c r="AM40" s="30"/>
      <c r="AN40" s="30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2:50" ht="11.25">
      <c r="B41" s="85"/>
      <c r="C41" s="131"/>
      <c r="D41" s="92" t="s">
        <v>183</v>
      </c>
      <c r="E41" s="92">
        <v>13018</v>
      </c>
      <c r="F41" s="92">
        <v>15752</v>
      </c>
      <c r="G41" s="92">
        <v>21480</v>
      </c>
      <c r="H41" s="92">
        <v>25645</v>
      </c>
      <c r="I41" s="92">
        <v>28379</v>
      </c>
      <c r="J41" s="92" t="s">
        <v>182</v>
      </c>
      <c r="K41" s="86"/>
      <c r="N41" s="90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30"/>
      <c r="AK41" s="30"/>
      <c r="AL41" s="30"/>
      <c r="AM41" s="30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2:50" ht="11.25">
      <c r="B42" s="85"/>
      <c r="C42" s="131"/>
      <c r="D42" s="92" t="s">
        <v>184</v>
      </c>
      <c r="E42" s="92">
        <v>3.36</v>
      </c>
      <c r="F42" s="92">
        <v>3.73</v>
      </c>
      <c r="G42" s="92">
        <v>3.9</v>
      </c>
      <c r="H42" s="92">
        <v>4.07</v>
      </c>
      <c r="I42" s="92">
        <v>4.27</v>
      </c>
      <c r="J42" s="92" t="s">
        <v>182</v>
      </c>
      <c r="K42" s="86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2:50" ht="11.25">
      <c r="B43" s="85"/>
      <c r="C43" s="131" t="s">
        <v>191</v>
      </c>
      <c r="D43" s="92" t="s">
        <v>181</v>
      </c>
      <c r="E43" s="92">
        <v>32.9</v>
      </c>
      <c r="F43" s="92">
        <v>55.9</v>
      </c>
      <c r="G43" s="92">
        <v>77.3</v>
      </c>
      <c r="H43" s="92">
        <v>92.4</v>
      </c>
      <c r="I43" s="92" t="s">
        <v>182</v>
      </c>
      <c r="J43" s="92" t="s">
        <v>182</v>
      </c>
      <c r="K43" s="86"/>
      <c r="N43" s="90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2:50" ht="11.25">
      <c r="B44" s="85"/>
      <c r="C44" s="131"/>
      <c r="D44" s="92" t="s">
        <v>183</v>
      </c>
      <c r="E44" s="92">
        <v>11964</v>
      </c>
      <c r="F44" s="92">
        <v>20818</v>
      </c>
      <c r="G44" s="92">
        <v>41515</v>
      </c>
      <c r="H44" s="92">
        <v>48335</v>
      </c>
      <c r="I44" s="92" t="s">
        <v>182</v>
      </c>
      <c r="J44" s="92" t="s">
        <v>182</v>
      </c>
      <c r="K44" s="86"/>
      <c r="N44" s="90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2:50" ht="11.25">
      <c r="B45" s="85"/>
      <c r="C45" s="131"/>
      <c r="D45" s="92" t="s">
        <v>184</v>
      </c>
      <c r="E45" s="92">
        <v>4.54</v>
      </c>
      <c r="F45" s="92">
        <v>5.31</v>
      </c>
      <c r="G45" s="92">
        <v>5.67</v>
      </c>
      <c r="H45" s="92">
        <v>6.09</v>
      </c>
      <c r="I45" s="92" t="s">
        <v>182</v>
      </c>
      <c r="J45" s="92" t="s">
        <v>182</v>
      </c>
      <c r="K45" s="86"/>
      <c r="N45" s="90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2:50" ht="11.25">
      <c r="B46" s="85"/>
      <c r="C46" s="131" t="s">
        <v>192</v>
      </c>
      <c r="D46" s="92" t="s">
        <v>181</v>
      </c>
      <c r="E46" s="92">
        <v>52.9</v>
      </c>
      <c r="F46" s="92">
        <v>114</v>
      </c>
      <c r="G46" s="92">
        <v>131.2</v>
      </c>
      <c r="H46" s="92">
        <v>151.6</v>
      </c>
      <c r="I46" s="92">
        <v>156.6</v>
      </c>
      <c r="J46" s="92" t="s">
        <v>182</v>
      </c>
      <c r="K46" s="86"/>
      <c r="N46" s="90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2:50" ht="11.25">
      <c r="B47" s="85"/>
      <c r="C47" s="131"/>
      <c r="D47" s="92" t="s">
        <v>183</v>
      </c>
      <c r="E47" s="92">
        <v>12928</v>
      </c>
      <c r="F47" s="92">
        <v>15256</v>
      </c>
      <c r="G47" s="92">
        <v>23791</v>
      </c>
      <c r="H47" s="92">
        <v>26312</v>
      </c>
      <c r="I47" s="92">
        <v>27679</v>
      </c>
      <c r="J47" s="92" t="s">
        <v>182</v>
      </c>
      <c r="K47" s="86"/>
      <c r="N47" s="90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2:50" ht="11.25">
      <c r="B48" s="85"/>
      <c r="C48" s="131"/>
      <c r="D48" s="92" t="s">
        <v>184</v>
      </c>
      <c r="E48" s="92">
        <v>3.56</v>
      </c>
      <c r="F48" s="92">
        <v>3.67</v>
      </c>
      <c r="G48" s="92">
        <v>3.78</v>
      </c>
      <c r="H48" s="92">
        <v>3.82</v>
      </c>
      <c r="I48" s="92">
        <v>3.96</v>
      </c>
      <c r="J48" s="92" t="s">
        <v>182</v>
      </c>
      <c r="K48" s="86"/>
      <c r="N48" s="90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2:11" ht="11.25">
      <c r="B49" s="85"/>
      <c r="C49" s="131" t="s">
        <v>193</v>
      </c>
      <c r="D49" s="92" t="s">
        <v>181</v>
      </c>
      <c r="E49" s="92">
        <v>56.6</v>
      </c>
      <c r="F49" s="92">
        <v>122.8</v>
      </c>
      <c r="G49" s="92">
        <v>159.2</v>
      </c>
      <c r="H49" s="92">
        <v>164.5</v>
      </c>
      <c r="I49" s="92">
        <v>172.1</v>
      </c>
      <c r="J49" s="92" t="s">
        <v>182</v>
      </c>
      <c r="K49" s="86"/>
    </row>
    <row r="50" spans="2:11" ht="11.25">
      <c r="B50" s="85"/>
      <c r="C50" s="131"/>
      <c r="D50" s="92" t="s">
        <v>183</v>
      </c>
      <c r="E50" s="92">
        <v>17053</v>
      </c>
      <c r="F50" s="92">
        <v>20310</v>
      </c>
      <c r="G50" s="92">
        <v>26794</v>
      </c>
      <c r="H50" s="92">
        <v>34044</v>
      </c>
      <c r="I50" s="92">
        <v>37191</v>
      </c>
      <c r="J50" s="92" t="s">
        <v>182</v>
      </c>
      <c r="K50" s="86"/>
    </row>
    <row r="51" spans="2:11" ht="11.25">
      <c r="B51" s="85"/>
      <c r="C51" s="131"/>
      <c r="D51" s="92" t="s">
        <v>184</v>
      </c>
      <c r="E51" s="92">
        <v>3.34</v>
      </c>
      <c r="F51" s="92">
        <v>3.76</v>
      </c>
      <c r="G51" s="92">
        <v>3.96</v>
      </c>
      <c r="H51" s="92">
        <v>4.01</v>
      </c>
      <c r="I51" s="92">
        <v>4.18</v>
      </c>
      <c r="J51" s="92" t="s">
        <v>182</v>
      </c>
      <c r="K51" s="86"/>
    </row>
    <row r="52" spans="2:11" ht="11.25">
      <c r="B52" s="85"/>
      <c r="C52" s="131" t="s">
        <v>194</v>
      </c>
      <c r="D52" s="92" t="s">
        <v>181</v>
      </c>
      <c r="E52" s="92">
        <v>66.3</v>
      </c>
      <c r="F52" s="92">
        <v>104.8</v>
      </c>
      <c r="G52" s="92">
        <v>141.9</v>
      </c>
      <c r="H52" s="92">
        <v>171</v>
      </c>
      <c r="I52" s="92">
        <v>171</v>
      </c>
      <c r="J52" s="92" t="s">
        <v>182</v>
      </c>
      <c r="K52" s="86"/>
    </row>
    <row r="53" spans="2:11" ht="11.25">
      <c r="B53" s="85"/>
      <c r="C53" s="131"/>
      <c r="D53" s="92" t="s">
        <v>183</v>
      </c>
      <c r="E53" s="92">
        <v>15665</v>
      </c>
      <c r="F53" s="92">
        <v>18552</v>
      </c>
      <c r="G53" s="92">
        <v>27066</v>
      </c>
      <c r="H53" s="92">
        <v>32954</v>
      </c>
      <c r="I53" s="92">
        <v>34624</v>
      </c>
      <c r="J53" s="92" t="s">
        <v>182</v>
      </c>
      <c r="K53" s="86"/>
    </row>
    <row r="54" spans="2:11" ht="11.25">
      <c r="B54" s="85"/>
      <c r="C54" s="131"/>
      <c r="D54" s="92" t="s">
        <v>184</v>
      </c>
      <c r="E54" s="92">
        <v>4.52</v>
      </c>
      <c r="F54" s="92">
        <v>5.02</v>
      </c>
      <c r="G54" s="92">
        <v>5.24</v>
      </c>
      <c r="H54" s="92">
        <v>5.47</v>
      </c>
      <c r="I54" s="92">
        <v>5.74</v>
      </c>
      <c r="J54" s="92" t="s">
        <v>182</v>
      </c>
      <c r="K54" s="86"/>
    </row>
    <row r="55" spans="2:11" ht="11.25">
      <c r="B55" s="85"/>
      <c r="C55" s="131" t="s">
        <v>195</v>
      </c>
      <c r="D55" s="92" t="s">
        <v>181</v>
      </c>
      <c r="E55" s="92">
        <v>72.1</v>
      </c>
      <c r="F55" s="92">
        <v>106.6</v>
      </c>
      <c r="G55" s="92">
        <v>156.6</v>
      </c>
      <c r="H55" s="92">
        <v>188.2</v>
      </c>
      <c r="I55" s="92">
        <v>188.2</v>
      </c>
      <c r="J55" s="92" t="s">
        <v>182</v>
      </c>
      <c r="K55" s="86"/>
    </row>
    <row r="56" spans="2:11" ht="11.25">
      <c r="B56" s="85"/>
      <c r="C56" s="131"/>
      <c r="D56" s="92" t="s">
        <v>183</v>
      </c>
      <c r="E56" s="92">
        <v>10302</v>
      </c>
      <c r="F56" s="92">
        <v>17332</v>
      </c>
      <c r="G56" s="92">
        <v>26114</v>
      </c>
      <c r="H56" s="92">
        <v>33386</v>
      </c>
      <c r="I56" s="92">
        <v>36953</v>
      </c>
      <c r="J56" s="92" t="s">
        <v>182</v>
      </c>
      <c r="K56" s="86"/>
    </row>
    <row r="57" spans="2:11" ht="11.25">
      <c r="B57" s="85"/>
      <c r="C57" s="131"/>
      <c r="D57" s="92" t="s">
        <v>184</v>
      </c>
      <c r="E57" s="92">
        <v>3.46</v>
      </c>
      <c r="F57" s="92">
        <v>3.94</v>
      </c>
      <c r="G57" s="92">
        <v>3.97</v>
      </c>
      <c r="H57" s="92">
        <v>4.08</v>
      </c>
      <c r="I57" s="92">
        <v>4.2</v>
      </c>
      <c r="J57" s="92" t="s">
        <v>182</v>
      </c>
      <c r="K57" s="86"/>
    </row>
    <row r="58" spans="2:11" ht="11.25">
      <c r="B58" s="85"/>
      <c r="C58" s="131" t="s">
        <v>196</v>
      </c>
      <c r="D58" s="92" t="s">
        <v>181</v>
      </c>
      <c r="E58" s="92">
        <v>67.6</v>
      </c>
      <c r="F58" s="92">
        <v>102.9</v>
      </c>
      <c r="G58" s="92">
        <v>146.3</v>
      </c>
      <c r="H58" s="92">
        <v>172.1</v>
      </c>
      <c r="I58" s="92">
        <v>172.1</v>
      </c>
      <c r="J58" s="92" t="s">
        <v>182</v>
      </c>
      <c r="K58" s="86"/>
    </row>
    <row r="59" spans="2:11" ht="11.25">
      <c r="B59" s="85"/>
      <c r="C59" s="131"/>
      <c r="D59" s="92" t="s">
        <v>183</v>
      </c>
      <c r="E59" s="92">
        <v>16462</v>
      </c>
      <c r="F59" s="92">
        <v>19560</v>
      </c>
      <c r="G59" s="92">
        <v>25883</v>
      </c>
      <c r="H59" s="92">
        <v>33198</v>
      </c>
      <c r="I59" s="92">
        <v>34519</v>
      </c>
      <c r="J59" s="92" t="s">
        <v>182</v>
      </c>
      <c r="K59" s="86"/>
    </row>
    <row r="60" spans="2:11" ht="11.25">
      <c r="B60" s="85"/>
      <c r="C60" s="131"/>
      <c r="D60" s="92" t="s">
        <v>184</v>
      </c>
      <c r="E60" s="92">
        <v>3.7</v>
      </c>
      <c r="F60" s="92">
        <v>3.84</v>
      </c>
      <c r="G60" s="92">
        <v>4.27</v>
      </c>
      <c r="H60" s="92">
        <v>4.29</v>
      </c>
      <c r="I60" s="92">
        <v>4.38</v>
      </c>
      <c r="J60" s="92" t="s">
        <v>182</v>
      </c>
      <c r="K60" s="86"/>
    </row>
    <row r="61" spans="2:11" ht="11.25">
      <c r="B61" s="85"/>
      <c r="C61" s="131" t="s">
        <v>197</v>
      </c>
      <c r="D61" s="92" t="s">
        <v>181</v>
      </c>
      <c r="E61" s="92">
        <v>62</v>
      </c>
      <c r="F61" s="92">
        <v>104.2</v>
      </c>
      <c r="G61" s="92">
        <v>133.92</v>
      </c>
      <c r="H61" s="92">
        <v>155</v>
      </c>
      <c r="I61" s="92">
        <v>162.4</v>
      </c>
      <c r="J61" s="92"/>
      <c r="K61" s="86"/>
    </row>
    <row r="62" spans="2:11" ht="11.25">
      <c r="B62" s="85"/>
      <c r="C62" s="131"/>
      <c r="D62" s="92" t="s">
        <v>183</v>
      </c>
      <c r="E62" s="92">
        <v>14793</v>
      </c>
      <c r="F62" s="92">
        <v>17590</v>
      </c>
      <c r="G62" s="92">
        <v>21404</v>
      </c>
      <c r="H62" s="92">
        <v>24206</v>
      </c>
      <c r="I62" s="92">
        <v>28940</v>
      </c>
      <c r="J62" s="92"/>
      <c r="K62" s="86"/>
    </row>
    <row r="63" spans="2:11" ht="11.25">
      <c r="B63" s="85"/>
      <c r="C63" s="131"/>
      <c r="D63" s="92" t="s">
        <v>184</v>
      </c>
      <c r="E63" s="92">
        <v>5.33</v>
      </c>
      <c r="F63" s="92">
        <v>5.92</v>
      </c>
      <c r="G63" s="92">
        <v>6.18</v>
      </c>
      <c r="H63" s="92">
        <v>6.45</v>
      </c>
      <c r="I63" s="92">
        <v>6.77</v>
      </c>
      <c r="J63" s="92"/>
      <c r="K63" s="86"/>
    </row>
    <row r="64" spans="2:11" ht="11.25">
      <c r="B64" s="85"/>
      <c r="C64" s="131" t="s">
        <v>313</v>
      </c>
      <c r="D64" s="92" t="s">
        <v>181</v>
      </c>
      <c r="E64" s="92">
        <v>71.3</v>
      </c>
      <c r="F64" s="92">
        <v>111.8</v>
      </c>
      <c r="G64" s="92">
        <v>157.4</v>
      </c>
      <c r="H64" s="92">
        <v>188.2</v>
      </c>
      <c r="I64" s="92">
        <v>188.2</v>
      </c>
      <c r="J64" s="92" t="s">
        <v>182</v>
      </c>
      <c r="K64" s="86"/>
    </row>
    <row r="65" spans="2:11" ht="11.25">
      <c r="B65" s="85"/>
      <c r="C65" s="131"/>
      <c r="D65" s="92" t="s">
        <v>183</v>
      </c>
      <c r="E65" s="92">
        <v>17751</v>
      </c>
      <c r="F65" s="92">
        <v>21108</v>
      </c>
      <c r="G65" s="92">
        <v>26525</v>
      </c>
      <c r="H65" s="92">
        <v>29067</v>
      </c>
      <c r="I65" s="92">
        <v>34702</v>
      </c>
      <c r="J65" s="92" t="s">
        <v>182</v>
      </c>
      <c r="K65" s="86"/>
    </row>
    <row r="66" spans="2:11" ht="11.25">
      <c r="B66" s="85"/>
      <c r="C66" s="131"/>
      <c r="D66" s="92" t="s">
        <v>184</v>
      </c>
      <c r="E66" s="92">
        <v>4.9</v>
      </c>
      <c r="F66" s="92">
        <v>5.25</v>
      </c>
      <c r="G66" s="92">
        <v>5.72</v>
      </c>
      <c r="H66" s="92">
        <v>5.79</v>
      </c>
      <c r="I66" s="92">
        <v>5.86</v>
      </c>
      <c r="J66" s="92" t="s">
        <v>182</v>
      </c>
      <c r="K66" s="86"/>
    </row>
    <row r="67" spans="2:11" ht="11.25">
      <c r="B67" s="85"/>
      <c r="C67" s="131" t="s">
        <v>314</v>
      </c>
      <c r="D67" s="92" t="s">
        <v>181</v>
      </c>
      <c r="E67" s="92">
        <v>72.1</v>
      </c>
      <c r="F67" s="92">
        <v>113.9</v>
      </c>
      <c r="G67" s="92">
        <v>142.1</v>
      </c>
      <c r="H67" s="92">
        <v>174.6</v>
      </c>
      <c r="I67" s="92">
        <v>182.6</v>
      </c>
      <c r="J67" s="92" t="s">
        <v>182</v>
      </c>
      <c r="K67" s="86"/>
    </row>
    <row r="68" spans="2:11" ht="11.25">
      <c r="B68" s="85"/>
      <c r="C68" s="131"/>
      <c r="D68" s="92" t="s">
        <v>183</v>
      </c>
      <c r="E68" s="92">
        <v>19022</v>
      </c>
      <c r="F68" s="92">
        <v>22065</v>
      </c>
      <c r="G68" s="92">
        <v>26434</v>
      </c>
      <c r="H68" s="92">
        <v>31946</v>
      </c>
      <c r="I68" s="92">
        <v>35954</v>
      </c>
      <c r="J68" s="92" t="s">
        <v>182</v>
      </c>
      <c r="K68" s="86"/>
    </row>
    <row r="69" spans="2:11" ht="11.25">
      <c r="B69" s="85"/>
      <c r="C69" s="131"/>
      <c r="D69" s="92" t="s">
        <v>184</v>
      </c>
      <c r="E69" s="92">
        <v>5.4</v>
      </c>
      <c r="F69" s="92">
        <v>5.71</v>
      </c>
      <c r="G69" s="92">
        <v>5.89</v>
      </c>
      <c r="H69" s="92">
        <v>6.03</v>
      </c>
      <c r="I69" s="92">
        <v>6.17</v>
      </c>
      <c r="J69" s="92" t="s">
        <v>182</v>
      </c>
      <c r="K69" s="86"/>
    </row>
    <row r="70" spans="2:11" ht="11.25">
      <c r="B70" s="85"/>
      <c r="C70" s="131" t="s">
        <v>199</v>
      </c>
      <c r="D70" s="92" t="s">
        <v>181</v>
      </c>
      <c r="E70" s="92">
        <v>64.9</v>
      </c>
      <c r="F70" s="92">
        <v>106.7</v>
      </c>
      <c r="G70" s="92">
        <v>137.5</v>
      </c>
      <c r="H70" s="92">
        <v>154.9</v>
      </c>
      <c r="I70" s="92">
        <v>169.8</v>
      </c>
      <c r="J70" s="92" t="s">
        <v>182</v>
      </c>
      <c r="K70" s="86"/>
    </row>
    <row r="71" spans="2:11" ht="11.25">
      <c r="B71" s="85"/>
      <c r="C71" s="131"/>
      <c r="D71" s="92" t="s">
        <v>183</v>
      </c>
      <c r="E71" s="92">
        <v>14867</v>
      </c>
      <c r="F71" s="92">
        <v>17544</v>
      </c>
      <c r="G71" s="92">
        <v>28251</v>
      </c>
      <c r="H71" s="92">
        <v>32710</v>
      </c>
      <c r="I71" s="92">
        <v>34730</v>
      </c>
      <c r="J71" s="92" t="s">
        <v>182</v>
      </c>
      <c r="K71" s="86"/>
    </row>
    <row r="72" spans="2:11" ht="11.25">
      <c r="B72" s="85"/>
      <c r="C72" s="131"/>
      <c r="D72" s="92" t="s">
        <v>184</v>
      </c>
      <c r="E72" s="92">
        <v>3.61</v>
      </c>
      <c r="F72" s="92">
        <v>3.93</v>
      </c>
      <c r="G72" s="92">
        <v>4.14</v>
      </c>
      <c r="H72" s="92">
        <v>4.36</v>
      </c>
      <c r="I72" s="92">
        <v>4.64</v>
      </c>
      <c r="J72" s="92" t="s">
        <v>182</v>
      </c>
      <c r="K72" s="86"/>
    </row>
    <row r="73" spans="2:11" ht="11.25">
      <c r="B73" s="85"/>
      <c r="C73" s="131" t="s">
        <v>200</v>
      </c>
      <c r="D73" s="92" t="s">
        <v>181</v>
      </c>
      <c r="E73" s="92">
        <v>71.3</v>
      </c>
      <c r="F73" s="92">
        <v>111.8</v>
      </c>
      <c r="G73" s="92">
        <v>132.5</v>
      </c>
      <c r="H73" s="92">
        <v>151.2</v>
      </c>
      <c r="I73" s="92">
        <v>164</v>
      </c>
      <c r="J73" s="92" t="s">
        <v>182</v>
      </c>
      <c r="K73" s="86"/>
    </row>
    <row r="74" spans="2:11" ht="11.25">
      <c r="B74" s="85"/>
      <c r="C74" s="131"/>
      <c r="D74" s="92" t="s">
        <v>183</v>
      </c>
      <c r="E74" s="92">
        <v>17751</v>
      </c>
      <c r="F74" s="92">
        <v>21108</v>
      </c>
      <c r="G74" s="92">
        <v>25683</v>
      </c>
      <c r="H74" s="92">
        <v>29047</v>
      </c>
      <c r="I74" s="92">
        <v>34728</v>
      </c>
      <c r="J74" s="92" t="s">
        <v>182</v>
      </c>
      <c r="K74" s="86"/>
    </row>
    <row r="75" spans="2:11" ht="11.25">
      <c r="B75" s="85"/>
      <c r="C75" s="131"/>
      <c r="D75" s="92" t="s">
        <v>184</v>
      </c>
      <c r="E75" s="92">
        <v>3.7</v>
      </c>
      <c r="F75" s="92">
        <v>4.25</v>
      </c>
      <c r="G75" s="92">
        <v>4.65</v>
      </c>
      <c r="H75" s="92">
        <v>4.95</v>
      </c>
      <c r="I75" s="92">
        <v>5.28</v>
      </c>
      <c r="J75" s="92" t="s">
        <v>182</v>
      </c>
      <c r="K75" s="86"/>
    </row>
    <row r="76" spans="2:11" ht="11.25">
      <c r="B76" s="85"/>
      <c r="C76" s="131" t="s">
        <v>201</v>
      </c>
      <c r="D76" s="92" t="s">
        <v>181</v>
      </c>
      <c r="E76" s="92">
        <v>72.1</v>
      </c>
      <c r="F76" s="92">
        <v>110.3</v>
      </c>
      <c r="G76" s="92">
        <v>134.3</v>
      </c>
      <c r="H76" s="92">
        <v>156.7</v>
      </c>
      <c r="I76" s="92">
        <v>171.3</v>
      </c>
      <c r="J76" s="92" t="s">
        <v>182</v>
      </c>
      <c r="K76" s="86"/>
    </row>
    <row r="77" spans="2:11" ht="11.25">
      <c r="B77" s="85"/>
      <c r="C77" s="131"/>
      <c r="D77" s="92" t="s">
        <v>183</v>
      </c>
      <c r="E77" s="92">
        <v>19022</v>
      </c>
      <c r="F77" s="92">
        <v>22312</v>
      </c>
      <c r="G77" s="92">
        <v>26942</v>
      </c>
      <c r="H77" s="92">
        <v>33262</v>
      </c>
      <c r="I77" s="92">
        <v>37439</v>
      </c>
      <c r="J77" s="92" t="s">
        <v>182</v>
      </c>
      <c r="K77" s="86"/>
    </row>
    <row r="78" spans="2:11" ht="11.25">
      <c r="B78" s="85"/>
      <c r="C78" s="131"/>
      <c r="D78" s="92" t="s">
        <v>184</v>
      </c>
      <c r="E78" s="92">
        <v>3.82</v>
      </c>
      <c r="F78" s="92">
        <v>4.69</v>
      </c>
      <c r="G78" s="92">
        <v>4.76</v>
      </c>
      <c r="H78" s="92">
        <v>4.98</v>
      </c>
      <c r="I78" s="92">
        <v>5.48</v>
      </c>
      <c r="J78" s="92" t="s">
        <v>182</v>
      </c>
      <c r="K78" s="86"/>
    </row>
    <row r="79" spans="2:11" ht="11.25">
      <c r="B79" s="85"/>
      <c r="C79" s="131" t="s">
        <v>315</v>
      </c>
      <c r="D79" s="92" t="s">
        <v>181</v>
      </c>
      <c r="E79" s="92">
        <v>51.4</v>
      </c>
      <c r="F79" s="92">
        <v>108.1</v>
      </c>
      <c r="G79" s="92">
        <v>126.7</v>
      </c>
      <c r="H79" s="92">
        <v>145.8</v>
      </c>
      <c r="I79" s="92">
        <v>157.9</v>
      </c>
      <c r="J79" s="92" t="s">
        <v>182</v>
      </c>
      <c r="K79" s="86"/>
    </row>
    <row r="80" spans="2:11" ht="11.25">
      <c r="B80" s="85"/>
      <c r="C80" s="131" t="s">
        <v>188</v>
      </c>
      <c r="D80" s="92" t="s">
        <v>183</v>
      </c>
      <c r="E80" s="92">
        <v>12282</v>
      </c>
      <c r="F80" s="92">
        <v>14494</v>
      </c>
      <c r="G80" s="92">
        <v>23337</v>
      </c>
      <c r="H80" s="92">
        <v>27022</v>
      </c>
      <c r="I80" s="92">
        <v>30273</v>
      </c>
      <c r="J80" s="92" t="s">
        <v>182</v>
      </c>
      <c r="K80" s="86"/>
    </row>
    <row r="81" spans="2:11" ht="11.25">
      <c r="B81" s="85"/>
      <c r="C81" s="131"/>
      <c r="D81" s="92" t="s">
        <v>184</v>
      </c>
      <c r="E81" s="92">
        <v>3.43</v>
      </c>
      <c r="F81" s="92">
        <v>3.85</v>
      </c>
      <c r="G81" s="92">
        <v>4.02</v>
      </c>
      <c r="H81" s="92">
        <v>4.28</v>
      </c>
      <c r="I81" s="92">
        <v>4.66</v>
      </c>
      <c r="J81" s="92" t="s">
        <v>182</v>
      </c>
      <c r="K81" s="86"/>
    </row>
    <row r="82" spans="2:11" ht="11.25">
      <c r="B82" s="85"/>
      <c r="C82" s="131" t="s">
        <v>202</v>
      </c>
      <c r="D82" s="92" t="s">
        <v>181</v>
      </c>
      <c r="E82" s="92">
        <v>56.5</v>
      </c>
      <c r="F82" s="92">
        <v>94.9</v>
      </c>
      <c r="G82" s="92">
        <v>122</v>
      </c>
      <c r="H82" s="92">
        <v>141.3</v>
      </c>
      <c r="I82" s="92">
        <v>148</v>
      </c>
      <c r="J82" s="92"/>
      <c r="K82" s="86"/>
    </row>
    <row r="83" spans="2:11" ht="11.25">
      <c r="B83" s="85"/>
      <c r="C83" s="131"/>
      <c r="D83" s="92" t="s">
        <v>183</v>
      </c>
      <c r="E83" s="92">
        <v>14124</v>
      </c>
      <c r="F83" s="92">
        <v>17090</v>
      </c>
      <c r="G83" s="92">
        <v>23304</v>
      </c>
      <c r="H83" s="92">
        <v>27682</v>
      </c>
      <c r="I83" s="92">
        <v>30789</v>
      </c>
      <c r="J83" s="92"/>
      <c r="K83" s="86"/>
    </row>
    <row r="84" spans="2:11" ht="11.25">
      <c r="B84" s="85"/>
      <c r="C84" s="131"/>
      <c r="D84" s="92" t="s">
        <v>184</v>
      </c>
      <c r="E84" s="92">
        <v>5.61</v>
      </c>
      <c r="F84" s="92">
        <v>6.23</v>
      </c>
      <c r="G84" s="92">
        <v>6.5</v>
      </c>
      <c r="H84" s="92">
        <v>6.79</v>
      </c>
      <c r="I84" s="92">
        <v>7.13</v>
      </c>
      <c r="J84" s="92"/>
      <c r="K84" s="86"/>
    </row>
    <row r="85" spans="2:11" ht="11.25">
      <c r="B85" s="85"/>
      <c r="C85" s="131" t="s">
        <v>203</v>
      </c>
      <c r="D85" s="92" t="s">
        <v>181</v>
      </c>
      <c r="E85" s="92">
        <v>69.9</v>
      </c>
      <c r="F85" s="92">
        <v>102.9</v>
      </c>
      <c r="G85" s="92">
        <v>134.7</v>
      </c>
      <c r="H85" s="92">
        <v>159.4</v>
      </c>
      <c r="I85" s="92">
        <v>167.8</v>
      </c>
      <c r="J85" s="92" t="s">
        <v>182</v>
      </c>
      <c r="K85" s="86"/>
    </row>
    <row r="86" spans="2:11" ht="11.25">
      <c r="B86" s="85"/>
      <c r="C86" s="131"/>
      <c r="D86" s="92" t="s">
        <v>183</v>
      </c>
      <c r="E86" s="92">
        <v>18296</v>
      </c>
      <c r="F86" s="92">
        <v>21093</v>
      </c>
      <c r="G86" s="92">
        <v>29715</v>
      </c>
      <c r="H86" s="92">
        <v>34781</v>
      </c>
      <c r="I86" s="92">
        <v>39225</v>
      </c>
      <c r="J86" s="92" t="s">
        <v>182</v>
      </c>
      <c r="K86" s="86"/>
    </row>
    <row r="87" spans="2:11" ht="11.25">
      <c r="B87" s="85"/>
      <c r="C87" s="131"/>
      <c r="D87" s="92" t="s">
        <v>184</v>
      </c>
      <c r="E87" s="92">
        <v>3.7</v>
      </c>
      <c r="F87" s="92">
        <v>4.29</v>
      </c>
      <c r="G87" s="92">
        <v>4.49</v>
      </c>
      <c r="H87" s="92">
        <v>4.94</v>
      </c>
      <c r="I87" s="92">
        <v>5.52</v>
      </c>
      <c r="J87" s="92" t="s">
        <v>182</v>
      </c>
      <c r="K87" s="86"/>
    </row>
    <row r="88" spans="2:11" ht="11.25">
      <c r="B88" s="85"/>
      <c r="C88" s="131" t="s">
        <v>316</v>
      </c>
      <c r="D88" s="92" t="s">
        <v>181</v>
      </c>
      <c r="E88" s="92">
        <v>64.9</v>
      </c>
      <c r="F88" s="92">
        <v>108.4</v>
      </c>
      <c r="G88" s="92">
        <v>140.2</v>
      </c>
      <c r="H88" s="92">
        <v>162.9</v>
      </c>
      <c r="I88" s="92">
        <v>169.4</v>
      </c>
      <c r="J88" s="92" t="s">
        <v>182</v>
      </c>
      <c r="K88" s="86"/>
    </row>
    <row r="89" spans="2:11" ht="11.25">
      <c r="B89" s="85"/>
      <c r="C89" s="131" t="s">
        <v>188</v>
      </c>
      <c r="D89" s="92" t="s">
        <v>183</v>
      </c>
      <c r="E89" s="92">
        <v>15639</v>
      </c>
      <c r="F89" s="92">
        <v>18923</v>
      </c>
      <c r="G89" s="92">
        <v>25804</v>
      </c>
      <c r="H89" s="92">
        <v>30809</v>
      </c>
      <c r="I89" s="92">
        <v>34093</v>
      </c>
      <c r="J89" s="92" t="s">
        <v>182</v>
      </c>
      <c r="K89" s="86"/>
    </row>
    <row r="90" spans="2:11" ht="11.25">
      <c r="B90" s="85"/>
      <c r="C90" s="131"/>
      <c r="D90" s="92" t="s">
        <v>184</v>
      </c>
      <c r="E90" s="92">
        <v>4.19</v>
      </c>
      <c r="F90" s="92">
        <v>4.65</v>
      </c>
      <c r="G90" s="92">
        <v>4.86</v>
      </c>
      <c r="H90" s="92">
        <v>5.07</v>
      </c>
      <c r="I90" s="92">
        <v>5.32</v>
      </c>
      <c r="J90" s="92" t="s">
        <v>182</v>
      </c>
      <c r="K90" s="86"/>
    </row>
    <row r="91" spans="2:11" ht="11.25">
      <c r="B91" s="85"/>
      <c r="C91" s="131" t="s">
        <v>317</v>
      </c>
      <c r="D91" s="92" t="s">
        <v>181</v>
      </c>
      <c r="E91" s="92">
        <v>57.7</v>
      </c>
      <c r="F91" s="92">
        <v>98.1</v>
      </c>
      <c r="G91" s="92">
        <v>135.6</v>
      </c>
      <c r="H91" s="92">
        <v>157.5</v>
      </c>
      <c r="I91" s="92" t="s">
        <v>182</v>
      </c>
      <c r="J91" s="92" t="s">
        <v>182</v>
      </c>
      <c r="K91" s="86"/>
    </row>
    <row r="92" spans="2:11" ht="11.25">
      <c r="B92" s="85"/>
      <c r="C92" s="131" t="s">
        <v>204</v>
      </c>
      <c r="D92" s="92" t="s">
        <v>205</v>
      </c>
      <c r="E92" s="92">
        <v>17589</v>
      </c>
      <c r="F92" s="92">
        <v>29198</v>
      </c>
      <c r="G92" s="92">
        <v>54702</v>
      </c>
      <c r="H92" s="92">
        <v>86174</v>
      </c>
      <c r="I92" s="92" t="s">
        <v>182</v>
      </c>
      <c r="J92" s="92" t="s">
        <v>182</v>
      </c>
      <c r="K92" s="86"/>
    </row>
    <row r="93" spans="2:11" ht="11.25">
      <c r="B93" s="85"/>
      <c r="C93" s="131"/>
      <c r="D93" s="92" t="s">
        <v>184</v>
      </c>
      <c r="E93" s="92">
        <v>3.2</v>
      </c>
      <c r="F93" s="92">
        <v>3.7</v>
      </c>
      <c r="G93" s="92">
        <v>4</v>
      </c>
      <c r="H93" s="92">
        <v>4.6</v>
      </c>
      <c r="I93" s="92" t="s">
        <v>182</v>
      </c>
      <c r="J93" s="92" t="s">
        <v>182</v>
      </c>
      <c r="K93" s="86"/>
    </row>
    <row r="94" spans="2:11" ht="11.25">
      <c r="B94" s="85"/>
      <c r="C94" s="131" t="s">
        <v>318</v>
      </c>
      <c r="D94" s="92" t="s">
        <v>181</v>
      </c>
      <c r="E94" s="92">
        <v>31.4</v>
      </c>
      <c r="F94" s="92">
        <v>52.4</v>
      </c>
      <c r="G94" s="92">
        <v>67.8</v>
      </c>
      <c r="H94" s="92">
        <v>78.8</v>
      </c>
      <c r="I94" s="92">
        <v>82</v>
      </c>
      <c r="J94" s="92" t="s">
        <v>182</v>
      </c>
      <c r="K94" s="86"/>
    </row>
    <row r="95" spans="2:11" ht="11.25">
      <c r="B95" s="85"/>
      <c r="C95" s="131" t="s">
        <v>206</v>
      </c>
      <c r="D95" s="92" t="s">
        <v>205</v>
      </c>
      <c r="E95" s="92">
        <v>39064</v>
      </c>
      <c r="F95" s="92">
        <v>46877</v>
      </c>
      <c r="G95" s="92">
        <v>64065</v>
      </c>
      <c r="H95" s="92">
        <v>76175</v>
      </c>
      <c r="I95" s="92">
        <v>84769</v>
      </c>
      <c r="J95" s="92" t="s">
        <v>182</v>
      </c>
      <c r="K95" s="86"/>
    </row>
    <row r="96" spans="2:11" ht="11.25">
      <c r="B96" s="85"/>
      <c r="C96" s="131"/>
      <c r="D96" s="92" t="s">
        <v>184</v>
      </c>
      <c r="E96" s="92">
        <v>5.4</v>
      </c>
      <c r="F96" s="92">
        <v>5.59</v>
      </c>
      <c r="G96" s="92">
        <v>5.85</v>
      </c>
      <c r="H96" s="92">
        <v>6.1</v>
      </c>
      <c r="I96" s="92">
        <v>6.4</v>
      </c>
      <c r="J96" s="92" t="s">
        <v>182</v>
      </c>
      <c r="K96" s="86"/>
    </row>
    <row r="97" spans="2:11" ht="12.75">
      <c r="B97" s="85"/>
      <c r="C97" s="134" t="s">
        <v>207</v>
      </c>
      <c r="D97" s="135"/>
      <c r="E97" s="135"/>
      <c r="F97" s="135"/>
      <c r="G97" s="135"/>
      <c r="H97" s="135"/>
      <c r="I97" s="135"/>
      <c r="J97" s="136"/>
      <c r="K97" s="86"/>
    </row>
    <row r="98" spans="2:11" ht="11.25">
      <c r="B98" s="85"/>
      <c r="C98" s="131" t="s">
        <v>208</v>
      </c>
      <c r="D98" s="92" t="s">
        <v>181</v>
      </c>
      <c r="E98" s="92">
        <v>50.7</v>
      </c>
      <c r="F98" s="92">
        <v>111</v>
      </c>
      <c r="G98" s="92">
        <v>111</v>
      </c>
      <c r="H98" s="92" t="s">
        <v>182</v>
      </c>
      <c r="I98" s="92" t="s">
        <v>182</v>
      </c>
      <c r="J98" s="92" t="s">
        <v>182</v>
      </c>
      <c r="K98" s="86"/>
    </row>
    <row r="99" spans="2:11" ht="11.25">
      <c r="B99" s="85"/>
      <c r="C99" s="131"/>
      <c r="D99" s="92" t="s">
        <v>183</v>
      </c>
      <c r="E99" s="92">
        <v>9331</v>
      </c>
      <c r="F99" s="92">
        <v>28230</v>
      </c>
      <c r="G99" s="92">
        <v>28230</v>
      </c>
      <c r="H99" s="92" t="s">
        <v>182</v>
      </c>
      <c r="I99" s="92" t="s">
        <v>182</v>
      </c>
      <c r="J99" s="92" t="s">
        <v>182</v>
      </c>
      <c r="K99" s="86"/>
    </row>
    <row r="100" spans="2:11" ht="11.25">
      <c r="B100" s="85"/>
      <c r="C100" s="131"/>
      <c r="D100" s="92" t="s">
        <v>184</v>
      </c>
      <c r="E100" s="92">
        <v>2.76</v>
      </c>
      <c r="F100" s="92">
        <v>3.68</v>
      </c>
      <c r="G100" s="92">
        <v>3.93</v>
      </c>
      <c r="H100" s="92" t="s">
        <v>182</v>
      </c>
      <c r="I100" s="92" t="s">
        <v>182</v>
      </c>
      <c r="J100" s="92" t="s">
        <v>182</v>
      </c>
      <c r="K100" s="86"/>
    </row>
    <row r="101" spans="2:11" ht="11.25">
      <c r="B101" s="85"/>
      <c r="C101" s="131" t="s">
        <v>209</v>
      </c>
      <c r="D101" s="92" t="s">
        <v>181</v>
      </c>
      <c r="E101" s="92">
        <v>68.7</v>
      </c>
      <c r="F101" s="92">
        <v>96</v>
      </c>
      <c r="G101" s="92">
        <v>114.9</v>
      </c>
      <c r="H101" s="92">
        <v>157.9</v>
      </c>
      <c r="I101" s="92" t="s">
        <v>182</v>
      </c>
      <c r="J101" s="92" t="s">
        <v>182</v>
      </c>
      <c r="K101" s="86"/>
    </row>
    <row r="102" spans="2:11" ht="11.25">
      <c r="B102" s="85"/>
      <c r="C102" s="131"/>
      <c r="D102" s="92" t="s">
        <v>183</v>
      </c>
      <c r="E102" s="92">
        <v>19202</v>
      </c>
      <c r="F102" s="92">
        <v>39904</v>
      </c>
      <c r="G102" s="92">
        <v>53433</v>
      </c>
      <c r="H102" s="92">
        <v>59178</v>
      </c>
      <c r="I102" s="92" t="s">
        <v>182</v>
      </c>
      <c r="J102" s="92" t="s">
        <v>182</v>
      </c>
      <c r="K102" s="86"/>
    </row>
    <row r="103" spans="2:11" ht="11.25">
      <c r="B103" s="85"/>
      <c r="C103" s="131"/>
      <c r="D103" s="92" t="s">
        <v>184</v>
      </c>
      <c r="E103" s="92">
        <v>2.89</v>
      </c>
      <c r="F103" s="92">
        <v>3.47</v>
      </c>
      <c r="G103" s="92">
        <v>3.71</v>
      </c>
      <c r="H103" s="92">
        <v>3.98</v>
      </c>
      <c r="I103" s="92" t="s">
        <v>182</v>
      </c>
      <c r="J103" s="92" t="s">
        <v>182</v>
      </c>
      <c r="K103" s="86"/>
    </row>
    <row r="104" spans="2:11" ht="11.25">
      <c r="B104" s="85"/>
      <c r="C104" s="131" t="s">
        <v>210</v>
      </c>
      <c r="D104" s="92" t="s">
        <v>181</v>
      </c>
      <c r="E104" s="92">
        <v>68.7</v>
      </c>
      <c r="F104" s="92">
        <v>96</v>
      </c>
      <c r="G104" s="92">
        <v>114.9</v>
      </c>
      <c r="H104" s="92">
        <v>157.9</v>
      </c>
      <c r="I104" s="92" t="s">
        <v>182</v>
      </c>
      <c r="J104" s="92" t="s">
        <v>182</v>
      </c>
      <c r="K104" s="86"/>
    </row>
    <row r="105" spans="2:11" ht="11.25">
      <c r="B105" s="85"/>
      <c r="C105" s="131"/>
      <c r="D105" s="92" t="s">
        <v>183</v>
      </c>
      <c r="E105" s="92">
        <v>19202</v>
      </c>
      <c r="F105" s="92">
        <v>39904</v>
      </c>
      <c r="G105" s="92">
        <v>53433</v>
      </c>
      <c r="H105" s="92">
        <v>59178</v>
      </c>
      <c r="I105" s="92" t="s">
        <v>182</v>
      </c>
      <c r="J105" s="92" t="s">
        <v>182</v>
      </c>
      <c r="K105" s="86"/>
    </row>
    <row r="106" spans="2:11" ht="11.25">
      <c r="B106" s="85"/>
      <c r="C106" s="131"/>
      <c r="D106" s="92" t="s">
        <v>184</v>
      </c>
      <c r="E106" s="92">
        <v>2.89</v>
      </c>
      <c r="F106" s="92">
        <v>3.47</v>
      </c>
      <c r="G106" s="92">
        <v>3.71</v>
      </c>
      <c r="H106" s="92">
        <v>3.98</v>
      </c>
      <c r="I106" s="92" t="s">
        <v>182</v>
      </c>
      <c r="J106" s="92" t="s">
        <v>182</v>
      </c>
      <c r="K106" s="86"/>
    </row>
    <row r="107" spans="2:11" ht="11.25">
      <c r="B107" s="85"/>
      <c r="C107" s="131" t="s">
        <v>211</v>
      </c>
      <c r="D107" s="92" t="s">
        <v>181</v>
      </c>
      <c r="E107" s="92">
        <v>82.44</v>
      </c>
      <c r="F107" s="92">
        <v>126.1</v>
      </c>
      <c r="G107" s="92">
        <v>150.9</v>
      </c>
      <c r="H107" s="92">
        <v>169</v>
      </c>
      <c r="I107" s="92" t="s">
        <v>182</v>
      </c>
      <c r="J107" s="92" t="s">
        <v>182</v>
      </c>
      <c r="K107" s="86"/>
    </row>
    <row r="108" spans="2:11" ht="11.25">
      <c r="B108" s="85"/>
      <c r="C108" s="131"/>
      <c r="D108" s="92" t="s">
        <v>183</v>
      </c>
      <c r="E108" s="92">
        <v>32138</v>
      </c>
      <c r="F108" s="92">
        <v>58170</v>
      </c>
      <c r="G108" s="92">
        <v>77131</v>
      </c>
      <c r="H108" s="92">
        <v>88701</v>
      </c>
      <c r="I108" s="92" t="s">
        <v>182</v>
      </c>
      <c r="J108" s="92" t="s">
        <v>182</v>
      </c>
      <c r="K108" s="86"/>
    </row>
    <row r="109" spans="2:11" ht="11.25">
      <c r="B109" s="85"/>
      <c r="C109" s="131"/>
      <c r="D109" s="92" t="s">
        <v>184</v>
      </c>
      <c r="E109" s="92">
        <v>7.32</v>
      </c>
      <c r="F109" s="92">
        <v>8.71</v>
      </c>
      <c r="G109" s="92">
        <v>9.74</v>
      </c>
      <c r="H109" s="92">
        <v>10.69</v>
      </c>
      <c r="I109" s="92" t="s">
        <v>182</v>
      </c>
      <c r="J109" s="92" t="s">
        <v>182</v>
      </c>
      <c r="K109" s="86"/>
    </row>
    <row r="110" spans="2:11" ht="11.25">
      <c r="B110" s="85"/>
      <c r="C110" s="131" t="s">
        <v>212</v>
      </c>
      <c r="D110" s="92" t="s">
        <v>181</v>
      </c>
      <c r="E110" s="92">
        <v>86.8</v>
      </c>
      <c r="F110" s="92">
        <v>145.6</v>
      </c>
      <c r="G110" s="92">
        <v>184.5</v>
      </c>
      <c r="H110" s="92">
        <v>184.5</v>
      </c>
      <c r="I110" s="92" t="s">
        <v>182</v>
      </c>
      <c r="J110" s="92" t="s">
        <v>182</v>
      </c>
      <c r="K110" s="86"/>
    </row>
    <row r="111" spans="2:11" ht="11.25">
      <c r="B111" s="85"/>
      <c r="C111" s="131"/>
      <c r="D111" s="92" t="s">
        <v>183</v>
      </c>
      <c r="E111" s="92">
        <v>28412</v>
      </c>
      <c r="F111" s="92">
        <v>58779</v>
      </c>
      <c r="G111" s="92">
        <v>65547</v>
      </c>
      <c r="H111" s="92">
        <v>65547</v>
      </c>
      <c r="I111" s="92" t="s">
        <v>182</v>
      </c>
      <c r="J111" s="92" t="s">
        <v>182</v>
      </c>
      <c r="K111" s="86"/>
    </row>
    <row r="112" spans="2:11" ht="11.25">
      <c r="B112" s="85"/>
      <c r="C112" s="131"/>
      <c r="D112" s="92" t="s">
        <v>184</v>
      </c>
      <c r="E112" s="92">
        <v>3.38</v>
      </c>
      <c r="F112" s="92">
        <v>3.84</v>
      </c>
      <c r="G112" s="92">
        <v>4.16</v>
      </c>
      <c r="H112" s="92">
        <v>4.35</v>
      </c>
      <c r="I112" s="92" t="s">
        <v>182</v>
      </c>
      <c r="J112" s="92" t="s">
        <v>182</v>
      </c>
      <c r="K112" s="86"/>
    </row>
    <row r="113" spans="2:11" ht="11.25">
      <c r="B113" s="85"/>
      <c r="C113" s="131" t="s">
        <v>213</v>
      </c>
      <c r="D113" s="92" t="s">
        <v>181</v>
      </c>
      <c r="E113" s="92">
        <v>73.5</v>
      </c>
      <c r="F113" s="92">
        <v>138.9</v>
      </c>
      <c r="G113" s="92">
        <v>165.4</v>
      </c>
      <c r="H113" s="92">
        <v>181.6</v>
      </c>
      <c r="I113" s="92" t="s">
        <v>182</v>
      </c>
      <c r="J113" s="92" t="s">
        <v>182</v>
      </c>
      <c r="K113" s="86"/>
    </row>
    <row r="114" spans="2:11" ht="11.25">
      <c r="B114" s="85"/>
      <c r="C114" s="131"/>
      <c r="D114" s="92" t="s">
        <v>183</v>
      </c>
      <c r="E114" s="92">
        <v>27931</v>
      </c>
      <c r="F114" s="92">
        <v>46814</v>
      </c>
      <c r="G114" s="92">
        <v>65719</v>
      </c>
      <c r="H114" s="92">
        <v>71487</v>
      </c>
      <c r="I114" s="92" t="s">
        <v>182</v>
      </c>
      <c r="J114" s="92" t="s">
        <v>182</v>
      </c>
      <c r="K114" s="86"/>
    </row>
    <row r="115" spans="2:11" ht="11.25">
      <c r="B115" s="85"/>
      <c r="C115" s="131"/>
      <c r="D115" s="92" t="s">
        <v>184</v>
      </c>
      <c r="E115" s="92">
        <v>3.19</v>
      </c>
      <c r="F115" s="92">
        <v>3.42</v>
      </c>
      <c r="G115" s="92">
        <v>3.61</v>
      </c>
      <c r="H115" s="92">
        <v>3.88</v>
      </c>
      <c r="I115" s="92" t="s">
        <v>182</v>
      </c>
      <c r="J115" s="92" t="s">
        <v>182</v>
      </c>
      <c r="K115" s="86"/>
    </row>
    <row r="116" spans="2:11" ht="11.25">
      <c r="B116" s="85"/>
      <c r="C116" s="131" t="s">
        <v>214</v>
      </c>
      <c r="D116" s="92" t="s">
        <v>181</v>
      </c>
      <c r="E116" s="92">
        <v>75.6</v>
      </c>
      <c r="F116" s="92">
        <v>142.7</v>
      </c>
      <c r="G116" s="92">
        <v>168.3</v>
      </c>
      <c r="H116" s="92">
        <v>186.5</v>
      </c>
      <c r="I116" s="92" t="s">
        <v>182</v>
      </c>
      <c r="J116" s="92" t="s">
        <v>182</v>
      </c>
      <c r="K116" s="86"/>
    </row>
    <row r="117" spans="2:11" ht="11.25">
      <c r="B117" s="85"/>
      <c r="C117" s="131"/>
      <c r="D117" s="92" t="s">
        <v>183</v>
      </c>
      <c r="E117" s="92">
        <v>26568</v>
      </c>
      <c r="F117" s="92">
        <v>48345</v>
      </c>
      <c r="G117" s="92">
        <v>71290</v>
      </c>
      <c r="H117" s="92">
        <v>76131</v>
      </c>
      <c r="I117" s="92" t="s">
        <v>182</v>
      </c>
      <c r="J117" s="92" t="s">
        <v>182</v>
      </c>
      <c r="K117" s="86"/>
    </row>
    <row r="118" spans="2:11" ht="11.25">
      <c r="B118" s="85"/>
      <c r="C118" s="131"/>
      <c r="D118" s="92" t="s">
        <v>184</v>
      </c>
      <c r="E118" s="92">
        <v>3.19</v>
      </c>
      <c r="F118" s="92">
        <v>3.52</v>
      </c>
      <c r="G118" s="92">
        <v>3.72</v>
      </c>
      <c r="H118" s="92">
        <v>3.94</v>
      </c>
      <c r="I118" s="92" t="s">
        <v>182</v>
      </c>
      <c r="J118" s="92" t="s">
        <v>182</v>
      </c>
      <c r="K118" s="86"/>
    </row>
    <row r="119" spans="2:11" ht="11.25">
      <c r="B119" s="85"/>
      <c r="C119" s="131" t="s">
        <v>215</v>
      </c>
      <c r="D119" s="92" t="s">
        <v>181</v>
      </c>
      <c r="E119" s="92">
        <v>81.5</v>
      </c>
      <c r="F119" s="92">
        <v>146.5</v>
      </c>
      <c r="G119" s="92">
        <v>159.4</v>
      </c>
      <c r="H119" s="92">
        <v>182.6</v>
      </c>
      <c r="I119" s="92" t="s">
        <v>182</v>
      </c>
      <c r="J119" s="92" t="s">
        <v>182</v>
      </c>
      <c r="K119" s="86"/>
    </row>
    <row r="120" spans="2:11" ht="11.25">
      <c r="B120" s="85"/>
      <c r="C120" s="131"/>
      <c r="D120" s="92" t="s">
        <v>183</v>
      </c>
      <c r="E120" s="92">
        <v>28926</v>
      </c>
      <c r="F120" s="92">
        <v>52743</v>
      </c>
      <c r="G120" s="92">
        <v>67544</v>
      </c>
      <c r="H120" s="92">
        <v>73475</v>
      </c>
      <c r="I120" s="92" t="s">
        <v>182</v>
      </c>
      <c r="J120" s="92" t="s">
        <v>182</v>
      </c>
      <c r="K120" s="86"/>
    </row>
    <row r="121" spans="2:11" ht="11.25">
      <c r="B121" s="85"/>
      <c r="C121" s="131"/>
      <c r="D121" s="92" t="s">
        <v>184</v>
      </c>
      <c r="E121" s="92">
        <v>5.46</v>
      </c>
      <c r="F121" s="92">
        <v>6.48</v>
      </c>
      <c r="G121" s="92">
        <v>7.15</v>
      </c>
      <c r="H121" s="92">
        <v>7.82</v>
      </c>
      <c r="I121" s="92" t="s">
        <v>182</v>
      </c>
      <c r="J121" s="92" t="s">
        <v>182</v>
      </c>
      <c r="K121" s="86"/>
    </row>
    <row r="122" spans="2:11" ht="11.25">
      <c r="B122" s="85"/>
      <c r="C122" s="131" t="s">
        <v>216</v>
      </c>
      <c r="D122" s="92" t="s">
        <v>181</v>
      </c>
      <c r="E122" s="92">
        <v>115</v>
      </c>
      <c r="F122" s="92">
        <v>195.8</v>
      </c>
      <c r="G122" s="92">
        <v>207.7</v>
      </c>
      <c r="H122" s="92">
        <v>248.4</v>
      </c>
      <c r="I122" s="92"/>
      <c r="J122" s="92"/>
      <c r="K122" s="86"/>
    </row>
    <row r="123" spans="2:11" ht="11.25">
      <c r="B123" s="85"/>
      <c r="C123" s="131"/>
      <c r="D123" s="92" t="s">
        <v>183</v>
      </c>
      <c r="E123" s="92">
        <v>44456</v>
      </c>
      <c r="F123" s="92">
        <v>80466</v>
      </c>
      <c r="G123" s="92">
        <v>106695</v>
      </c>
      <c r="H123" s="92">
        <v>122700</v>
      </c>
      <c r="I123" s="92" t="s">
        <v>182</v>
      </c>
      <c r="J123" s="92"/>
      <c r="K123" s="86"/>
    </row>
    <row r="124" spans="2:11" ht="11.25">
      <c r="B124" s="85"/>
      <c r="C124" s="131"/>
      <c r="D124" s="92" t="s">
        <v>184</v>
      </c>
      <c r="E124" s="92">
        <v>6.68</v>
      </c>
      <c r="F124" s="92">
        <v>7.95</v>
      </c>
      <c r="G124" s="92">
        <v>8.88</v>
      </c>
      <c r="H124" s="92">
        <v>9.75</v>
      </c>
      <c r="I124" s="92"/>
      <c r="J124" s="92"/>
      <c r="K124" s="86"/>
    </row>
    <row r="125" spans="2:11" ht="11.25">
      <c r="B125" s="85"/>
      <c r="C125" s="131" t="s">
        <v>319</v>
      </c>
      <c r="D125" s="92" t="s">
        <v>181</v>
      </c>
      <c r="E125" s="92">
        <v>58.4</v>
      </c>
      <c r="F125" s="92">
        <v>93.4</v>
      </c>
      <c r="G125" s="92">
        <v>110.4</v>
      </c>
      <c r="H125" s="92">
        <v>113.9</v>
      </c>
      <c r="I125" s="92">
        <v>140.7</v>
      </c>
      <c r="J125" s="92"/>
      <c r="K125" s="86"/>
    </row>
    <row r="126" spans="2:11" ht="11.25">
      <c r="B126" s="85"/>
      <c r="C126" s="131"/>
      <c r="D126" s="92" t="s">
        <v>183</v>
      </c>
      <c r="E126" s="92">
        <v>32135</v>
      </c>
      <c r="F126" s="92">
        <v>56518</v>
      </c>
      <c r="G126" s="92">
        <v>81580</v>
      </c>
      <c r="H126" s="92">
        <v>84168</v>
      </c>
      <c r="I126" s="92" t="s">
        <v>182</v>
      </c>
      <c r="J126" s="92"/>
      <c r="K126" s="86"/>
    </row>
    <row r="127" spans="2:11" ht="11.25">
      <c r="B127" s="85"/>
      <c r="C127" s="131"/>
      <c r="D127" s="92" t="s">
        <v>184</v>
      </c>
      <c r="E127" s="92">
        <v>2.82</v>
      </c>
      <c r="F127" s="92">
        <v>3.3</v>
      </c>
      <c r="G127" s="92">
        <v>3.72</v>
      </c>
      <c r="H127" s="92">
        <v>3.86</v>
      </c>
      <c r="I127" s="92">
        <v>4.8</v>
      </c>
      <c r="J127" s="92"/>
      <c r="K127" s="86"/>
    </row>
    <row r="128" spans="2:11" ht="11.25">
      <c r="B128" s="85"/>
      <c r="C128" s="131" t="s">
        <v>320</v>
      </c>
      <c r="D128" s="92" t="s">
        <v>181</v>
      </c>
      <c r="E128" s="92">
        <v>89.7</v>
      </c>
      <c r="F128" s="92">
        <v>146.7</v>
      </c>
      <c r="G128" s="92">
        <v>179.8</v>
      </c>
      <c r="H128" s="92">
        <v>214.2</v>
      </c>
      <c r="I128" s="92" t="s">
        <v>182</v>
      </c>
      <c r="J128" s="92" t="s">
        <v>182</v>
      </c>
      <c r="K128" s="86"/>
    </row>
    <row r="129" spans="2:11" ht="11.25">
      <c r="B129" s="85"/>
      <c r="C129" s="131" t="s">
        <v>188</v>
      </c>
      <c r="D129" s="92" t="s">
        <v>183</v>
      </c>
      <c r="E129" s="92">
        <v>30720</v>
      </c>
      <c r="F129" s="92">
        <v>53696</v>
      </c>
      <c r="G129" s="92">
        <v>73619</v>
      </c>
      <c r="H129" s="92">
        <v>85637</v>
      </c>
      <c r="I129" s="92" t="s">
        <v>182</v>
      </c>
      <c r="J129" s="92" t="s">
        <v>182</v>
      </c>
      <c r="K129" s="86"/>
    </row>
    <row r="130" spans="2:11" ht="11.25">
      <c r="B130" s="85"/>
      <c r="C130" s="131"/>
      <c r="D130" s="92" t="s">
        <v>184</v>
      </c>
      <c r="E130" s="92">
        <v>3.68</v>
      </c>
      <c r="F130" s="92">
        <v>4.61</v>
      </c>
      <c r="G130" s="92">
        <v>5.03</v>
      </c>
      <c r="H130" s="92">
        <v>6.23</v>
      </c>
      <c r="I130" s="92" t="s">
        <v>182</v>
      </c>
      <c r="J130" s="92" t="s">
        <v>182</v>
      </c>
      <c r="K130" s="86"/>
    </row>
    <row r="131" spans="2:11" ht="11.25">
      <c r="B131" s="85"/>
      <c r="C131" s="131" t="s">
        <v>217</v>
      </c>
      <c r="D131" s="92" t="s">
        <v>181</v>
      </c>
      <c r="E131" s="92">
        <v>109.5</v>
      </c>
      <c r="F131" s="92">
        <v>186.5</v>
      </c>
      <c r="G131" s="92">
        <v>197.8</v>
      </c>
      <c r="H131" s="92">
        <v>236.6</v>
      </c>
      <c r="I131" s="92" t="s">
        <v>182</v>
      </c>
      <c r="J131" s="92" t="s">
        <v>182</v>
      </c>
      <c r="K131" s="86"/>
    </row>
    <row r="132" spans="2:11" ht="11.25">
      <c r="B132" s="85"/>
      <c r="C132" s="131"/>
      <c r="D132" s="92" t="s">
        <v>183</v>
      </c>
      <c r="E132" s="92">
        <v>42340</v>
      </c>
      <c r="F132" s="92">
        <v>74014</v>
      </c>
      <c r="G132" s="92">
        <v>95117</v>
      </c>
      <c r="H132" s="92">
        <v>112722</v>
      </c>
      <c r="I132" s="92" t="s">
        <v>182</v>
      </c>
      <c r="J132" s="92" t="s">
        <v>182</v>
      </c>
      <c r="K132" s="86"/>
    </row>
    <row r="133" spans="2:11" ht="11.25">
      <c r="B133" s="85"/>
      <c r="C133" s="131"/>
      <c r="D133" s="92" t="s">
        <v>184</v>
      </c>
      <c r="E133" s="92">
        <v>3.72</v>
      </c>
      <c r="F133" s="92">
        <v>4.65</v>
      </c>
      <c r="G133" s="92">
        <v>5.29</v>
      </c>
      <c r="H133" s="92">
        <v>6.35</v>
      </c>
      <c r="I133" s="92" t="s">
        <v>182</v>
      </c>
      <c r="J133" s="92" t="s">
        <v>182</v>
      </c>
      <c r="K133" s="86"/>
    </row>
    <row r="134" spans="2:11" ht="11.25">
      <c r="B134" s="85"/>
      <c r="C134" s="131" t="s">
        <v>218</v>
      </c>
      <c r="D134" s="92" t="s">
        <v>181</v>
      </c>
      <c r="E134" s="92">
        <v>107.6</v>
      </c>
      <c r="F134" s="92">
        <v>164.6</v>
      </c>
      <c r="G134" s="92">
        <v>196.9</v>
      </c>
      <c r="H134" s="92">
        <v>220.6</v>
      </c>
      <c r="I134" s="92" t="s">
        <v>182</v>
      </c>
      <c r="J134" s="92" t="s">
        <v>182</v>
      </c>
      <c r="K134" s="86"/>
    </row>
    <row r="135" spans="2:11" ht="11.25">
      <c r="B135" s="85"/>
      <c r="C135" s="131"/>
      <c r="D135" s="92" t="s">
        <v>183</v>
      </c>
      <c r="E135" s="92">
        <v>36865</v>
      </c>
      <c r="F135" s="92">
        <v>66725</v>
      </c>
      <c r="G135" s="92">
        <v>88475</v>
      </c>
      <c r="H135" s="92">
        <v>101747</v>
      </c>
      <c r="I135" s="92" t="s">
        <v>182</v>
      </c>
      <c r="J135" s="92" t="s">
        <v>182</v>
      </c>
      <c r="K135" s="86"/>
    </row>
    <row r="136" spans="2:11" ht="11.25">
      <c r="B136" s="85"/>
      <c r="C136" s="131"/>
      <c r="D136" s="92" t="s">
        <v>184</v>
      </c>
      <c r="E136" s="92">
        <v>8.41</v>
      </c>
      <c r="F136" s="92">
        <v>10.01</v>
      </c>
      <c r="G136" s="92">
        <v>11.19</v>
      </c>
      <c r="H136" s="92">
        <v>12.28</v>
      </c>
      <c r="I136" s="92" t="s">
        <v>182</v>
      </c>
      <c r="J136" s="92" t="s">
        <v>182</v>
      </c>
      <c r="K136" s="86"/>
    </row>
    <row r="137" spans="2:11" ht="11.25">
      <c r="B137" s="85"/>
      <c r="C137" s="131" t="s">
        <v>321</v>
      </c>
      <c r="D137" s="92" t="s">
        <v>181</v>
      </c>
      <c r="E137" s="92">
        <v>107.6</v>
      </c>
      <c r="F137" s="92">
        <v>164.63</v>
      </c>
      <c r="G137" s="92">
        <v>196.91</v>
      </c>
      <c r="H137" s="92">
        <v>220.58</v>
      </c>
      <c r="I137" s="92"/>
      <c r="J137" s="92"/>
      <c r="K137" s="86"/>
    </row>
    <row r="138" spans="2:11" ht="11.25">
      <c r="B138" s="85"/>
      <c r="C138" s="131"/>
      <c r="D138" s="92" t="s">
        <v>183</v>
      </c>
      <c r="E138" s="92">
        <v>36865</v>
      </c>
      <c r="F138" s="92">
        <v>66725</v>
      </c>
      <c r="G138" s="92">
        <v>88475</v>
      </c>
      <c r="H138" s="92">
        <v>101747</v>
      </c>
      <c r="I138" s="92" t="s">
        <v>182</v>
      </c>
      <c r="J138" s="92"/>
      <c r="K138" s="86"/>
    </row>
    <row r="139" spans="2:11" ht="11.25">
      <c r="B139" s="85"/>
      <c r="C139" s="131"/>
      <c r="D139" s="92" t="s">
        <v>184</v>
      </c>
      <c r="E139" s="92">
        <v>8.41</v>
      </c>
      <c r="F139" s="92">
        <v>10.01</v>
      </c>
      <c r="G139" s="92">
        <v>11.19</v>
      </c>
      <c r="H139" s="92">
        <v>12.28</v>
      </c>
      <c r="I139" s="92"/>
      <c r="J139" s="92"/>
      <c r="K139" s="86"/>
    </row>
    <row r="140" spans="2:11" ht="11.25">
      <c r="B140" s="85"/>
      <c r="C140" s="131" t="s">
        <v>322</v>
      </c>
      <c r="D140" s="92" t="s">
        <v>181</v>
      </c>
      <c r="E140" s="92">
        <v>83.6</v>
      </c>
      <c r="F140" s="92">
        <v>132.9</v>
      </c>
      <c r="G140" s="92">
        <v>167.2</v>
      </c>
      <c r="H140" s="92">
        <v>182.2</v>
      </c>
      <c r="I140" s="92">
        <v>197.3</v>
      </c>
      <c r="J140" s="92">
        <v>197.3</v>
      </c>
      <c r="K140" s="86"/>
    </row>
    <row r="141" spans="2:11" ht="11.25">
      <c r="B141" s="85"/>
      <c r="C141" s="131"/>
      <c r="D141" s="92" t="s">
        <v>183</v>
      </c>
      <c r="E141" s="92">
        <v>27309</v>
      </c>
      <c r="F141" s="92">
        <v>51340</v>
      </c>
      <c r="G141" s="92">
        <v>68545</v>
      </c>
      <c r="H141" s="92">
        <v>73733</v>
      </c>
      <c r="I141" s="92">
        <v>80560</v>
      </c>
      <c r="J141" s="92">
        <v>105958</v>
      </c>
      <c r="K141" s="86"/>
    </row>
    <row r="142" spans="2:11" ht="11.25">
      <c r="B142" s="85"/>
      <c r="C142" s="131"/>
      <c r="D142" s="92" t="s">
        <v>184</v>
      </c>
      <c r="E142" s="92">
        <v>4.77</v>
      </c>
      <c r="F142" s="92">
        <v>5.53</v>
      </c>
      <c r="G142" s="92">
        <v>6.2</v>
      </c>
      <c r="H142" s="92">
        <v>6.77</v>
      </c>
      <c r="I142" s="92">
        <v>6.91</v>
      </c>
      <c r="J142" s="92">
        <v>6.91</v>
      </c>
      <c r="K142" s="86"/>
    </row>
    <row r="143" spans="2:11" ht="11.25">
      <c r="B143" s="85"/>
      <c r="C143" s="131" t="s">
        <v>219</v>
      </c>
      <c r="D143" s="92" t="s">
        <v>181</v>
      </c>
      <c r="E143" s="92">
        <v>101.5</v>
      </c>
      <c r="F143" s="92">
        <v>132.1</v>
      </c>
      <c r="G143" s="92">
        <v>186.7</v>
      </c>
      <c r="H143" s="92">
        <v>199.4</v>
      </c>
      <c r="I143" s="92" t="s">
        <v>182</v>
      </c>
      <c r="J143" s="92" t="s">
        <v>182</v>
      </c>
      <c r="K143" s="86"/>
    </row>
    <row r="144" spans="2:11" ht="11.25">
      <c r="B144" s="85"/>
      <c r="C144" s="131"/>
      <c r="D144" s="92" t="s">
        <v>183</v>
      </c>
      <c r="E144" s="92">
        <v>33292</v>
      </c>
      <c r="F144" s="92">
        <v>51413</v>
      </c>
      <c r="G144" s="92">
        <v>72451</v>
      </c>
      <c r="H144" s="92">
        <v>80560</v>
      </c>
      <c r="I144" s="92" t="s">
        <v>182</v>
      </c>
      <c r="J144" s="92" t="s">
        <v>182</v>
      </c>
      <c r="K144" s="86"/>
    </row>
    <row r="145" spans="2:11" ht="11.25">
      <c r="B145" s="85"/>
      <c r="C145" s="131"/>
      <c r="D145" s="92" t="s">
        <v>184</v>
      </c>
      <c r="E145" s="92">
        <v>3.5</v>
      </c>
      <c r="F145" s="92">
        <v>4.05</v>
      </c>
      <c r="G145" s="92">
        <v>4.65</v>
      </c>
      <c r="H145" s="92">
        <v>5.12</v>
      </c>
      <c r="I145" s="92" t="s">
        <v>182</v>
      </c>
      <c r="J145" s="92" t="s">
        <v>182</v>
      </c>
      <c r="K145" s="86"/>
    </row>
    <row r="146" spans="2:11" ht="11.25">
      <c r="B146" s="85"/>
      <c r="C146" s="131" t="s">
        <v>220</v>
      </c>
      <c r="D146" s="92" t="s">
        <v>181</v>
      </c>
      <c r="E146" s="92">
        <v>102.2</v>
      </c>
      <c r="F146" s="92">
        <v>141.6</v>
      </c>
      <c r="G146" s="92">
        <v>191.5</v>
      </c>
      <c r="H146" s="92">
        <v>201.6</v>
      </c>
      <c r="I146" s="92" t="s">
        <v>182</v>
      </c>
      <c r="J146" s="92" t="s">
        <v>182</v>
      </c>
      <c r="K146" s="86"/>
    </row>
    <row r="147" spans="2:11" ht="11.25">
      <c r="B147" s="85"/>
      <c r="C147" s="131"/>
      <c r="D147" s="92" t="s">
        <v>183</v>
      </c>
      <c r="E147" s="92">
        <v>33963</v>
      </c>
      <c r="F147" s="92">
        <v>55048</v>
      </c>
      <c r="G147" s="92">
        <v>73995</v>
      </c>
      <c r="H147" s="92">
        <v>79388</v>
      </c>
      <c r="I147" s="92" t="s">
        <v>182</v>
      </c>
      <c r="J147" s="92" t="s">
        <v>182</v>
      </c>
      <c r="K147" s="86"/>
    </row>
    <row r="148" spans="2:11" ht="11.25">
      <c r="B148" s="85"/>
      <c r="C148" s="131"/>
      <c r="D148" s="92" t="s">
        <v>184</v>
      </c>
      <c r="E148" s="92">
        <v>3.64</v>
      </c>
      <c r="F148" s="92">
        <v>4.21</v>
      </c>
      <c r="G148" s="92">
        <v>4.78</v>
      </c>
      <c r="H148" s="92">
        <v>5.11</v>
      </c>
      <c r="I148" s="92" t="s">
        <v>182</v>
      </c>
      <c r="J148" s="92" t="s">
        <v>182</v>
      </c>
      <c r="K148" s="86"/>
    </row>
    <row r="149" spans="2:11" ht="11.25">
      <c r="B149" s="85"/>
      <c r="C149" s="131" t="s">
        <v>221</v>
      </c>
      <c r="D149" s="92" t="s">
        <v>181</v>
      </c>
      <c r="E149" s="92">
        <v>101.5</v>
      </c>
      <c r="F149" s="92">
        <v>147.4</v>
      </c>
      <c r="G149" s="92">
        <v>186.6</v>
      </c>
      <c r="H149" s="92">
        <v>194.9</v>
      </c>
      <c r="I149" s="92" t="s">
        <v>182</v>
      </c>
      <c r="J149" s="92" t="s">
        <v>182</v>
      </c>
      <c r="K149" s="86"/>
    </row>
    <row r="150" spans="2:11" ht="11.25">
      <c r="B150" s="85"/>
      <c r="C150" s="131"/>
      <c r="D150" s="92" t="s">
        <v>183</v>
      </c>
      <c r="E150" s="92">
        <v>33352</v>
      </c>
      <c r="F150" s="92">
        <v>57531</v>
      </c>
      <c r="G150" s="92">
        <v>76048</v>
      </c>
      <c r="H150" s="92">
        <v>80260</v>
      </c>
      <c r="I150" s="92" t="s">
        <v>182</v>
      </c>
      <c r="J150" s="92" t="s">
        <v>182</v>
      </c>
      <c r="K150" s="86"/>
    </row>
    <row r="151" spans="2:11" ht="11.25">
      <c r="B151" s="85"/>
      <c r="C151" s="131"/>
      <c r="D151" s="92" t="s">
        <v>184</v>
      </c>
      <c r="E151" s="92">
        <v>12.88</v>
      </c>
      <c r="F151" s="92">
        <v>14.9</v>
      </c>
      <c r="G151" s="92">
        <v>16.3</v>
      </c>
      <c r="H151" s="92">
        <v>18.6</v>
      </c>
      <c r="I151" s="92" t="s">
        <v>182</v>
      </c>
      <c r="J151" s="92" t="s">
        <v>182</v>
      </c>
      <c r="K151" s="86"/>
    </row>
    <row r="152" spans="2:11" ht="11.25">
      <c r="B152" s="85"/>
      <c r="C152" s="131" t="s">
        <v>222</v>
      </c>
      <c r="D152" s="92" t="s">
        <v>181</v>
      </c>
      <c r="E152" s="92">
        <v>107.4</v>
      </c>
      <c r="F152" s="92">
        <v>163.7</v>
      </c>
      <c r="G152" s="92">
        <v>186.7</v>
      </c>
      <c r="H152" s="92">
        <v>193.5</v>
      </c>
      <c r="I152" s="92" t="s">
        <v>182</v>
      </c>
      <c r="J152" s="92" t="s">
        <v>182</v>
      </c>
      <c r="K152" s="86"/>
    </row>
    <row r="153" spans="2:11" ht="11.25">
      <c r="B153" s="85"/>
      <c r="C153" s="131"/>
      <c r="D153" s="92" t="s">
        <v>183</v>
      </c>
      <c r="E153" s="92">
        <v>38170</v>
      </c>
      <c r="F153" s="92">
        <v>74418</v>
      </c>
      <c r="G153" s="92">
        <v>83826</v>
      </c>
      <c r="H153" s="92">
        <v>87891</v>
      </c>
      <c r="I153" s="92" t="s">
        <v>182</v>
      </c>
      <c r="J153" s="92" t="s">
        <v>182</v>
      </c>
      <c r="K153" s="86"/>
    </row>
    <row r="154" spans="2:11" ht="11.25">
      <c r="B154" s="85"/>
      <c r="C154" s="131"/>
      <c r="D154" s="92" t="s">
        <v>184</v>
      </c>
      <c r="E154" s="92">
        <v>3.6</v>
      </c>
      <c r="F154" s="92">
        <v>3.9</v>
      </c>
      <c r="G154" s="92">
        <v>4.18</v>
      </c>
      <c r="H154" s="92">
        <v>4.65</v>
      </c>
      <c r="I154" s="92" t="s">
        <v>182</v>
      </c>
      <c r="J154" s="92" t="s">
        <v>182</v>
      </c>
      <c r="K154" s="86"/>
    </row>
    <row r="155" spans="2:11" ht="11.25">
      <c r="B155" s="85"/>
      <c r="C155" s="131" t="s">
        <v>223</v>
      </c>
      <c r="D155" s="92" t="s">
        <v>181</v>
      </c>
      <c r="E155" s="92">
        <v>108.1</v>
      </c>
      <c r="F155" s="92">
        <v>157.3</v>
      </c>
      <c r="G155" s="92">
        <v>192.4</v>
      </c>
      <c r="H155" s="92">
        <v>197.3</v>
      </c>
      <c r="I155" s="92" t="s">
        <v>182</v>
      </c>
      <c r="J155" s="92" t="s">
        <v>182</v>
      </c>
      <c r="K155" s="86"/>
    </row>
    <row r="156" spans="2:11" ht="11.25">
      <c r="B156" s="85"/>
      <c r="C156" s="131"/>
      <c r="D156" s="92" t="s">
        <v>183</v>
      </c>
      <c r="E156" s="92">
        <v>38229</v>
      </c>
      <c r="F156" s="92">
        <v>69755</v>
      </c>
      <c r="G156" s="92">
        <v>77827</v>
      </c>
      <c r="H156" s="92">
        <v>84486</v>
      </c>
      <c r="I156" s="92" t="s">
        <v>182</v>
      </c>
      <c r="J156" s="92" t="s">
        <v>182</v>
      </c>
      <c r="K156" s="86"/>
    </row>
    <row r="157" spans="2:11" ht="11.25">
      <c r="B157" s="85"/>
      <c r="C157" s="131"/>
      <c r="D157" s="92" t="s">
        <v>184</v>
      </c>
      <c r="E157" s="92">
        <v>13.25</v>
      </c>
      <c r="F157" s="92">
        <v>15.1</v>
      </c>
      <c r="G157" s="92">
        <v>16.2</v>
      </c>
      <c r="H157" s="92">
        <v>18.9</v>
      </c>
      <c r="I157" s="92" t="s">
        <v>182</v>
      </c>
      <c r="J157" s="92" t="s">
        <v>182</v>
      </c>
      <c r="K157" s="86"/>
    </row>
    <row r="158" spans="2:11" ht="11.25">
      <c r="B158" s="85"/>
      <c r="C158" s="131" t="s">
        <v>224</v>
      </c>
      <c r="D158" s="92" t="s">
        <v>181</v>
      </c>
      <c r="E158" s="92">
        <v>102</v>
      </c>
      <c r="F158" s="92">
        <v>163.2</v>
      </c>
      <c r="G158" s="92">
        <v>192.8</v>
      </c>
      <c r="H158" s="92">
        <v>198.9</v>
      </c>
      <c r="I158" s="92">
        <v>245.8</v>
      </c>
      <c r="J158" s="92"/>
      <c r="K158" s="86"/>
    </row>
    <row r="159" spans="2:11" ht="11.25">
      <c r="B159" s="85"/>
      <c r="C159" s="131"/>
      <c r="D159" s="92" t="s">
        <v>183</v>
      </c>
      <c r="E159" s="92">
        <v>36261</v>
      </c>
      <c r="F159" s="92">
        <v>70697</v>
      </c>
      <c r="G159" s="92">
        <v>79634</v>
      </c>
      <c r="H159" s="92">
        <v>83496</v>
      </c>
      <c r="I159" s="92" t="s">
        <v>182</v>
      </c>
      <c r="J159" s="92"/>
      <c r="K159" s="86"/>
    </row>
    <row r="160" spans="2:11" ht="11.25">
      <c r="B160" s="85"/>
      <c r="C160" s="131"/>
      <c r="D160" s="92" t="s">
        <v>184</v>
      </c>
      <c r="E160" s="92">
        <v>3.58</v>
      </c>
      <c r="F160" s="92">
        <v>4.19</v>
      </c>
      <c r="G160" s="92">
        <v>4.72</v>
      </c>
      <c r="H160" s="92">
        <v>4.9</v>
      </c>
      <c r="I160" s="92">
        <v>6.09</v>
      </c>
      <c r="J160" s="92"/>
      <c r="K160" s="86"/>
    </row>
    <row r="161" spans="2:11" ht="11.25">
      <c r="B161" s="85"/>
      <c r="C161" s="131" t="s">
        <v>323</v>
      </c>
      <c r="D161" s="92" t="s">
        <v>181</v>
      </c>
      <c r="E161" s="92">
        <v>121.3</v>
      </c>
      <c r="F161" s="92">
        <v>192.9</v>
      </c>
      <c r="G161" s="92">
        <v>240.2</v>
      </c>
      <c r="H161" s="92">
        <v>245</v>
      </c>
      <c r="I161" s="92">
        <v>280.2</v>
      </c>
      <c r="J161" s="92">
        <v>297.2</v>
      </c>
      <c r="K161" s="86"/>
    </row>
    <row r="162" spans="2:11" ht="11.25">
      <c r="B162" s="85"/>
      <c r="C162" s="131" t="s">
        <v>225</v>
      </c>
      <c r="D162" s="92" t="s">
        <v>183</v>
      </c>
      <c r="E162" s="92">
        <v>57285</v>
      </c>
      <c r="F162" s="92">
        <v>107123</v>
      </c>
      <c r="G162" s="92">
        <v>130610</v>
      </c>
      <c r="H162" s="92">
        <v>140920</v>
      </c>
      <c r="I162" s="92">
        <v>166127</v>
      </c>
      <c r="J162" s="92">
        <v>190759</v>
      </c>
      <c r="K162" s="86"/>
    </row>
    <row r="163" spans="2:11" ht="11.25">
      <c r="B163" s="85"/>
      <c r="C163" s="131" t="s">
        <v>198</v>
      </c>
      <c r="D163" s="92" t="s">
        <v>184</v>
      </c>
      <c r="E163" s="92">
        <v>5.04</v>
      </c>
      <c r="F163" s="92">
        <v>5.9</v>
      </c>
      <c r="G163" s="92">
        <v>6.55</v>
      </c>
      <c r="H163" s="92">
        <v>7.16</v>
      </c>
      <c r="I163" s="92">
        <v>7.46</v>
      </c>
      <c r="J163" s="92">
        <v>7.56</v>
      </c>
      <c r="K163" s="86"/>
    </row>
    <row r="164" spans="2:11" ht="11.25">
      <c r="B164" s="85"/>
      <c r="C164" s="131" t="s">
        <v>324</v>
      </c>
      <c r="D164" s="92" t="s">
        <v>181</v>
      </c>
      <c r="E164" s="92">
        <v>75.3</v>
      </c>
      <c r="F164" s="92">
        <v>124.2</v>
      </c>
      <c r="G164" s="92">
        <v>152.1</v>
      </c>
      <c r="H164" s="92">
        <v>172.4</v>
      </c>
      <c r="I164" s="92">
        <v>205.6</v>
      </c>
      <c r="J164" s="92" t="s">
        <v>182</v>
      </c>
      <c r="K164" s="86"/>
    </row>
    <row r="165" spans="2:11" ht="11.25">
      <c r="B165" s="85"/>
      <c r="C165" s="131" t="s">
        <v>226</v>
      </c>
      <c r="D165" s="92" t="s">
        <v>183</v>
      </c>
      <c r="E165" s="92">
        <v>25806</v>
      </c>
      <c r="F165" s="92">
        <v>47483</v>
      </c>
      <c r="G165" s="92">
        <v>63225</v>
      </c>
      <c r="H165" s="92">
        <v>72773</v>
      </c>
      <c r="I165" s="92">
        <v>92385</v>
      </c>
      <c r="J165" s="92" t="s">
        <v>182</v>
      </c>
      <c r="K165" s="86"/>
    </row>
    <row r="166" spans="2:11" ht="11.25">
      <c r="B166" s="85"/>
      <c r="C166" s="131"/>
      <c r="D166" s="92" t="s">
        <v>184</v>
      </c>
      <c r="E166" s="92">
        <v>3.35</v>
      </c>
      <c r="F166" s="92">
        <v>3.95</v>
      </c>
      <c r="G166" s="92">
        <v>4.35</v>
      </c>
      <c r="H166" s="92">
        <v>4.82</v>
      </c>
      <c r="I166" s="92">
        <v>5.59</v>
      </c>
      <c r="J166" s="92" t="s">
        <v>182</v>
      </c>
      <c r="K166" s="86"/>
    </row>
    <row r="167" spans="2:11" ht="11.25">
      <c r="B167" s="85"/>
      <c r="C167" s="131" t="s">
        <v>325</v>
      </c>
      <c r="D167" s="92" t="s">
        <v>181</v>
      </c>
      <c r="E167" s="92">
        <v>79.1</v>
      </c>
      <c r="F167" s="92">
        <v>130.5</v>
      </c>
      <c r="G167" s="92">
        <v>159.8</v>
      </c>
      <c r="H167" s="92">
        <v>181.1</v>
      </c>
      <c r="I167" s="92">
        <v>215.9</v>
      </c>
      <c r="J167" s="92" t="s">
        <v>182</v>
      </c>
      <c r="K167" s="86"/>
    </row>
    <row r="168" spans="2:11" ht="11.25">
      <c r="B168" s="85"/>
      <c r="C168" s="131" t="s">
        <v>188</v>
      </c>
      <c r="D168" s="92" t="s">
        <v>183</v>
      </c>
      <c r="E168" s="92">
        <v>29819</v>
      </c>
      <c r="F168" s="92">
        <v>54867</v>
      </c>
      <c r="G168" s="92">
        <v>73056</v>
      </c>
      <c r="H168" s="92">
        <v>84090</v>
      </c>
      <c r="I168" s="92">
        <v>106752</v>
      </c>
      <c r="J168" s="92" t="s">
        <v>182</v>
      </c>
      <c r="K168" s="86"/>
    </row>
    <row r="169" spans="2:11" ht="11.25">
      <c r="B169" s="85"/>
      <c r="C169" s="131"/>
      <c r="D169" s="92" t="s">
        <v>184</v>
      </c>
      <c r="E169" s="92">
        <v>3.35</v>
      </c>
      <c r="F169" s="92">
        <v>3.95</v>
      </c>
      <c r="G169" s="92">
        <v>4.35</v>
      </c>
      <c r="H169" s="92">
        <v>4.82</v>
      </c>
      <c r="I169" s="92">
        <v>5.59</v>
      </c>
      <c r="J169" s="92" t="s">
        <v>182</v>
      </c>
      <c r="K169" s="86"/>
    </row>
    <row r="170" spans="2:11" ht="11.25">
      <c r="B170" s="85"/>
      <c r="C170" s="131" t="s">
        <v>326</v>
      </c>
      <c r="D170" s="92" t="s">
        <v>181</v>
      </c>
      <c r="E170" s="92">
        <v>81</v>
      </c>
      <c r="F170" s="92">
        <v>128.8</v>
      </c>
      <c r="G170" s="92">
        <v>160.4</v>
      </c>
      <c r="H170" s="92">
        <v>163.6</v>
      </c>
      <c r="I170" s="92">
        <v>187.1</v>
      </c>
      <c r="J170" s="92">
        <v>198.5</v>
      </c>
      <c r="K170" s="86"/>
    </row>
    <row r="171" spans="2:11" ht="11.25">
      <c r="B171" s="85"/>
      <c r="C171" s="131" t="s">
        <v>198</v>
      </c>
      <c r="D171" s="92" t="s">
        <v>183</v>
      </c>
      <c r="E171" s="92">
        <v>30565</v>
      </c>
      <c r="F171" s="92">
        <v>57156</v>
      </c>
      <c r="G171" s="92">
        <v>69687</v>
      </c>
      <c r="H171" s="92">
        <v>75189</v>
      </c>
      <c r="I171" s="92">
        <v>88637</v>
      </c>
      <c r="J171" s="92">
        <v>101780</v>
      </c>
      <c r="K171" s="86"/>
    </row>
    <row r="172" spans="2:11" ht="11.25">
      <c r="B172" s="85"/>
      <c r="C172" s="131"/>
      <c r="D172" s="92" t="s">
        <v>184</v>
      </c>
      <c r="E172" s="92">
        <v>4.27</v>
      </c>
      <c r="F172" s="92">
        <v>4.99</v>
      </c>
      <c r="G172" s="92">
        <v>5.55</v>
      </c>
      <c r="H172" s="92">
        <v>6.06</v>
      </c>
      <c r="I172" s="92">
        <v>6.31</v>
      </c>
      <c r="J172" s="92">
        <v>6.4</v>
      </c>
      <c r="K172" s="86"/>
    </row>
    <row r="173" spans="2:11" ht="11.25">
      <c r="B173" s="85"/>
      <c r="C173" s="131" t="s">
        <v>327</v>
      </c>
      <c r="D173" s="92" t="s">
        <v>181</v>
      </c>
      <c r="E173" s="92">
        <v>97.9</v>
      </c>
      <c r="F173" s="92">
        <v>161.5</v>
      </c>
      <c r="G173" s="92">
        <v>197.8</v>
      </c>
      <c r="H173" s="92">
        <v>224.2</v>
      </c>
      <c r="I173" s="92">
        <v>267.3</v>
      </c>
      <c r="J173" s="92" t="s">
        <v>182</v>
      </c>
      <c r="K173" s="86"/>
    </row>
    <row r="174" spans="2:11" ht="11.25">
      <c r="B174" s="85"/>
      <c r="C174" s="131"/>
      <c r="D174" s="92" t="s">
        <v>205</v>
      </c>
      <c r="E174" s="92">
        <v>44602</v>
      </c>
      <c r="F174" s="92">
        <v>82068</v>
      </c>
      <c r="G174" s="92">
        <v>109275</v>
      </c>
      <c r="H174" s="92">
        <v>125778</v>
      </c>
      <c r="I174" s="92">
        <v>159675</v>
      </c>
      <c r="J174" s="92" t="s">
        <v>182</v>
      </c>
      <c r="K174" s="86"/>
    </row>
    <row r="175" spans="2:11" ht="11.25">
      <c r="B175" s="85"/>
      <c r="C175" s="131"/>
      <c r="D175" s="92" t="s">
        <v>184</v>
      </c>
      <c r="E175" s="92">
        <v>4.4</v>
      </c>
      <c r="F175" s="92">
        <v>5.2</v>
      </c>
      <c r="G175" s="92">
        <v>5.8</v>
      </c>
      <c r="H175" s="92">
        <v>6.4</v>
      </c>
      <c r="I175" s="92">
        <v>7.4</v>
      </c>
      <c r="J175" s="92" t="s">
        <v>182</v>
      </c>
      <c r="K175" s="86"/>
    </row>
    <row r="176" spans="2:11" ht="11.25">
      <c r="B176" s="85"/>
      <c r="C176" s="131" t="s">
        <v>328</v>
      </c>
      <c r="D176" s="92" t="s">
        <v>181</v>
      </c>
      <c r="E176" s="92">
        <v>94.4</v>
      </c>
      <c r="F176" s="92">
        <v>155.8</v>
      </c>
      <c r="G176" s="92">
        <v>190.7</v>
      </c>
      <c r="H176" s="92">
        <v>216.2</v>
      </c>
      <c r="I176" s="92">
        <v>257.7</v>
      </c>
      <c r="J176" s="92" t="s">
        <v>182</v>
      </c>
      <c r="K176" s="86"/>
    </row>
    <row r="177" spans="2:11" ht="11.25">
      <c r="B177" s="85"/>
      <c r="C177" s="131"/>
      <c r="D177" s="92" t="s">
        <v>205</v>
      </c>
      <c r="E177" s="92">
        <v>42372</v>
      </c>
      <c r="F177" s="92">
        <v>77964</v>
      </c>
      <c r="G177" s="92">
        <v>103811</v>
      </c>
      <c r="H177" s="92">
        <v>119489</v>
      </c>
      <c r="I177" s="92">
        <v>151692</v>
      </c>
      <c r="J177" s="92" t="s">
        <v>182</v>
      </c>
      <c r="K177" s="86"/>
    </row>
    <row r="178" spans="2:11" ht="11.25">
      <c r="B178" s="85"/>
      <c r="C178" s="131"/>
      <c r="D178" s="92" t="s">
        <v>184</v>
      </c>
      <c r="E178" s="92">
        <v>4.1</v>
      </c>
      <c r="F178" s="92">
        <v>4.8</v>
      </c>
      <c r="G178" s="92">
        <v>5.3</v>
      </c>
      <c r="H178" s="92">
        <v>5.9</v>
      </c>
      <c r="I178" s="92">
        <v>6.8</v>
      </c>
      <c r="J178" s="92" t="s">
        <v>182</v>
      </c>
      <c r="K178" s="86"/>
    </row>
    <row r="179" spans="2:11" ht="11.25">
      <c r="B179" s="85"/>
      <c r="C179" s="131" t="s">
        <v>329</v>
      </c>
      <c r="D179" s="92" t="s">
        <v>181</v>
      </c>
      <c r="E179" s="92">
        <v>75.9</v>
      </c>
      <c r="F179" s="92">
        <v>125.2</v>
      </c>
      <c r="G179" s="92">
        <v>153.3</v>
      </c>
      <c r="H179" s="92">
        <v>178.8</v>
      </c>
      <c r="I179" s="92" t="s">
        <v>182</v>
      </c>
      <c r="J179" s="92" t="s">
        <v>182</v>
      </c>
      <c r="K179" s="86"/>
    </row>
    <row r="180" spans="2:11" ht="11.25">
      <c r="B180" s="85"/>
      <c r="C180" s="131" t="s">
        <v>188</v>
      </c>
      <c r="D180" s="92" t="s">
        <v>205</v>
      </c>
      <c r="E180" s="92">
        <v>33148</v>
      </c>
      <c r="F180" s="92">
        <v>60992</v>
      </c>
      <c r="G180" s="92">
        <v>81213</v>
      </c>
      <c r="H180" s="92">
        <v>93477</v>
      </c>
      <c r="I180" s="92" t="s">
        <v>182</v>
      </c>
      <c r="J180" s="92" t="s">
        <v>182</v>
      </c>
      <c r="K180" s="86"/>
    </row>
    <row r="181" spans="2:11" ht="11.25">
      <c r="B181" s="85"/>
      <c r="C181" s="131" t="s">
        <v>227</v>
      </c>
      <c r="D181" s="92" t="s">
        <v>184</v>
      </c>
      <c r="E181" s="92">
        <v>3.33</v>
      </c>
      <c r="F181" s="92">
        <v>3.93</v>
      </c>
      <c r="G181" s="92">
        <v>4.33</v>
      </c>
      <c r="H181" s="92">
        <v>4.8</v>
      </c>
      <c r="I181" s="92" t="s">
        <v>182</v>
      </c>
      <c r="J181" s="92" t="s">
        <v>182</v>
      </c>
      <c r="K181" s="86"/>
    </row>
    <row r="182" spans="2:11" ht="11.25">
      <c r="B182" s="85"/>
      <c r="C182" s="131" t="s">
        <v>330</v>
      </c>
      <c r="D182" s="92" t="s">
        <v>181</v>
      </c>
      <c r="E182" s="92">
        <v>65.8</v>
      </c>
      <c r="F182" s="92">
        <v>108.6</v>
      </c>
      <c r="G182" s="92">
        <v>132.9</v>
      </c>
      <c r="H182" s="92">
        <v>150.7</v>
      </c>
      <c r="I182" s="92">
        <v>179.6</v>
      </c>
      <c r="J182" s="92" t="s">
        <v>182</v>
      </c>
      <c r="K182" s="86"/>
    </row>
    <row r="183" spans="2:11" ht="11.25">
      <c r="B183" s="85"/>
      <c r="C183" s="131"/>
      <c r="D183" s="92" t="s">
        <v>183</v>
      </c>
      <c r="E183" s="92">
        <v>36810</v>
      </c>
      <c r="F183" s="92">
        <v>67730</v>
      </c>
      <c r="G183" s="92">
        <v>90185</v>
      </c>
      <c r="H183" s="92">
        <v>103804</v>
      </c>
      <c r="I183" s="92">
        <v>131780</v>
      </c>
      <c r="J183" s="92" t="s">
        <v>182</v>
      </c>
      <c r="K183" s="86"/>
    </row>
    <row r="184" spans="2:11" ht="11.25">
      <c r="B184" s="85"/>
      <c r="C184" s="131"/>
      <c r="D184" s="92" t="s">
        <v>184</v>
      </c>
      <c r="E184" s="92">
        <v>3.35</v>
      </c>
      <c r="F184" s="92">
        <v>3.95</v>
      </c>
      <c r="G184" s="92">
        <v>4.35</v>
      </c>
      <c r="H184" s="92">
        <v>4.82</v>
      </c>
      <c r="I184" s="92">
        <v>5.59</v>
      </c>
      <c r="J184" s="92" t="s">
        <v>182</v>
      </c>
      <c r="K184" s="86"/>
    </row>
    <row r="185" spans="2:11" ht="11.25">
      <c r="B185" s="85"/>
      <c r="C185" s="131" t="s">
        <v>228</v>
      </c>
      <c r="D185" s="92" t="s">
        <v>181</v>
      </c>
      <c r="E185" s="92">
        <v>82.1</v>
      </c>
      <c r="F185" s="92">
        <v>161.2</v>
      </c>
      <c r="G185" s="92">
        <v>189.6</v>
      </c>
      <c r="H185" s="92">
        <v>207.3</v>
      </c>
      <c r="I185" s="92">
        <v>234.6</v>
      </c>
      <c r="J185" s="92" t="s">
        <v>182</v>
      </c>
      <c r="K185" s="86"/>
    </row>
    <row r="186" spans="2:11" ht="11.25">
      <c r="B186" s="85"/>
      <c r="C186" s="131"/>
      <c r="D186" s="92" t="s">
        <v>183</v>
      </c>
      <c r="E186" s="92">
        <v>29326</v>
      </c>
      <c r="F186" s="92">
        <v>55883</v>
      </c>
      <c r="G186" s="92">
        <v>89303</v>
      </c>
      <c r="H186" s="92">
        <v>96889</v>
      </c>
      <c r="I186" s="92">
        <v>105804</v>
      </c>
      <c r="J186" s="92" t="s">
        <v>182</v>
      </c>
      <c r="K186" s="86"/>
    </row>
    <row r="187" spans="2:11" ht="11.25">
      <c r="B187" s="85"/>
      <c r="C187" s="131"/>
      <c r="D187" s="92" t="s">
        <v>184</v>
      </c>
      <c r="E187" s="92">
        <v>3.51</v>
      </c>
      <c r="F187" s="92">
        <v>4.18</v>
      </c>
      <c r="G187" s="92">
        <v>4.79</v>
      </c>
      <c r="H187" s="92">
        <v>5.02</v>
      </c>
      <c r="I187" s="92">
        <v>5.63</v>
      </c>
      <c r="J187" s="92" t="s">
        <v>182</v>
      </c>
      <c r="K187" s="86"/>
    </row>
    <row r="188" spans="2:11" ht="11.25">
      <c r="B188" s="85"/>
      <c r="C188" s="131" t="s">
        <v>331</v>
      </c>
      <c r="D188" s="92" t="s">
        <v>181</v>
      </c>
      <c r="E188" s="92">
        <v>98.6</v>
      </c>
      <c r="F188" s="92">
        <v>182.3</v>
      </c>
      <c r="G188" s="92">
        <v>234.8</v>
      </c>
      <c r="H188" s="92">
        <v>242.7</v>
      </c>
      <c r="I188" s="92">
        <v>253.6</v>
      </c>
      <c r="J188" s="92" t="s">
        <v>182</v>
      </c>
      <c r="K188" s="86"/>
    </row>
    <row r="189" spans="2:11" ht="11.25">
      <c r="B189" s="85"/>
      <c r="C189" s="131" t="s">
        <v>188</v>
      </c>
      <c r="D189" s="92" t="s">
        <v>183</v>
      </c>
      <c r="E189" s="92">
        <v>36663</v>
      </c>
      <c r="F189" s="92">
        <v>62884</v>
      </c>
      <c r="G189" s="92">
        <v>98243</v>
      </c>
      <c r="H189" s="92">
        <v>104257</v>
      </c>
      <c r="I189" s="92">
        <v>110428</v>
      </c>
      <c r="J189" s="92" t="s">
        <v>182</v>
      </c>
      <c r="K189" s="86"/>
    </row>
    <row r="190" spans="2:11" ht="11.25">
      <c r="B190" s="85"/>
      <c r="C190" s="131"/>
      <c r="D190" s="92" t="s">
        <v>184</v>
      </c>
      <c r="E190" s="92">
        <v>3.18</v>
      </c>
      <c r="F190" s="92">
        <v>3.72</v>
      </c>
      <c r="G190" s="92">
        <v>4.48</v>
      </c>
      <c r="H190" s="92">
        <v>5.08</v>
      </c>
      <c r="I190" s="92">
        <v>5.53</v>
      </c>
      <c r="J190" s="92" t="s">
        <v>182</v>
      </c>
      <c r="K190" s="86"/>
    </row>
    <row r="191" spans="2:11" ht="11.25">
      <c r="B191" s="85"/>
      <c r="C191" s="131" t="s">
        <v>332</v>
      </c>
      <c r="D191" s="92" t="s">
        <v>181</v>
      </c>
      <c r="E191" s="92">
        <v>112.1</v>
      </c>
      <c r="F191" s="92">
        <v>181.3</v>
      </c>
      <c r="G191" s="92">
        <v>236.8</v>
      </c>
      <c r="H191" s="92">
        <v>254.5</v>
      </c>
      <c r="I191" s="92">
        <v>283.5</v>
      </c>
      <c r="J191" s="92" t="s">
        <v>182</v>
      </c>
      <c r="K191" s="86"/>
    </row>
    <row r="192" spans="2:11" ht="11.25">
      <c r="B192" s="85"/>
      <c r="C192" s="131" t="s">
        <v>188</v>
      </c>
      <c r="D192" s="92" t="s">
        <v>183</v>
      </c>
      <c r="E192" s="92">
        <v>38829</v>
      </c>
      <c r="F192" s="92">
        <v>70923</v>
      </c>
      <c r="G192" s="92">
        <v>98201</v>
      </c>
      <c r="H192" s="92">
        <v>106322</v>
      </c>
      <c r="I192" s="92">
        <v>110114</v>
      </c>
      <c r="J192" s="92" t="s">
        <v>182</v>
      </c>
      <c r="K192" s="86"/>
    </row>
    <row r="193" spans="2:11" ht="11.25">
      <c r="B193" s="85"/>
      <c r="C193" s="131"/>
      <c r="D193" s="92" t="s">
        <v>184</v>
      </c>
      <c r="E193" s="92">
        <v>3.81</v>
      </c>
      <c r="F193" s="92">
        <v>4.75</v>
      </c>
      <c r="G193" s="92">
        <v>5.22</v>
      </c>
      <c r="H193" s="92">
        <v>5.49</v>
      </c>
      <c r="I193" s="92">
        <v>5.89</v>
      </c>
      <c r="J193" s="92" t="s">
        <v>182</v>
      </c>
      <c r="K193" s="86"/>
    </row>
    <row r="194" spans="2:11" ht="11.25">
      <c r="B194" s="85"/>
      <c r="C194" s="131" t="s">
        <v>333</v>
      </c>
      <c r="D194" s="92" t="s">
        <v>181</v>
      </c>
      <c r="E194" s="92">
        <v>104.9</v>
      </c>
      <c r="F194" s="92">
        <v>196.8</v>
      </c>
      <c r="G194" s="92">
        <v>252.7</v>
      </c>
      <c r="H194" s="92">
        <v>261.1</v>
      </c>
      <c r="I194" s="92">
        <v>272.1</v>
      </c>
      <c r="J194" s="92" t="s">
        <v>182</v>
      </c>
      <c r="K194" s="86"/>
    </row>
    <row r="195" spans="2:11" ht="11.25">
      <c r="B195" s="85"/>
      <c r="C195" s="131" t="s">
        <v>198</v>
      </c>
      <c r="D195" s="92" t="s">
        <v>183</v>
      </c>
      <c r="E195" s="92">
        <v>39936</v>
      </c>
      <c r="F195" s="92">
        <v>74968</v>
      </c>
      <c r="G195" s="92">
        <v>98395</v>
      </c>
      <c r="H195" s="92">
        <v>110326</v>
      </c>
      <c r="I195" s="92">
        <v>127321</v>
      </c>
      <c r="J195" s="92" t="s">
        <v>182</v>
      </c>
      <c r="K195" s="86"/>
    </row>
    <row r="196" spans="2:11" ht="11.25">
      <c r="B196" s="85"/>
      <c r="C196" s="131"/>
      <c r="D196" s="92" t="s">
        <v>184</v>
      </c>
      <c r="E196" s="92">
        <v>3.77</v>
      </c>
      <c r="F196" s="92">
        <v>4.49</v>
      </c>
      <c r="G196" s="92">
        <v>4.89</v>
      </c>
      <c r="H196" s="92">
        <v>5.41</v>
      </c>
      <c r="I196" s="92">
        <v>6.16</v>
      </c>
      <c r="J196" s="92" t="s">
        <v>182</v>
      </c>
      <c r="K196" s="86"/>
    </row>
    <row r="197" spans="2:11" ht="11.25">
      <c r="B197" s="85"/>
      <c r="C197" s="131" t="s">
        <v>334</v>
      </c>
      <c r="D197" s="92" t="s">
        <v>181</v>
      </c>
      <c r="E197" s="92">
        <v>123.5</v>
      </c>
      <c r="F197" s="92">
        <v>197.2</v>
      </c>
      <c r="G197" s="92">
        <v>247.3</v>
      </c>
      <c r="H197" s="92">
        <v>259.7</v>
      </c>
      <c r="I197" s="92">
        <v>289.7</v>
      </c>
      <c r="J197" s="92" t="s">
        <v>182</v>
      </c>
      <c r="K197" s="86"/>
    </row>
    <row r="198" spans="2:11" ht="11.25">
      <c r="B198" s="85"/>
      <c r="C198" s="131" t="s">
        <v>198</v>
      </c>
      <c r="D198" s="92" t="s">
        <v>183</v>
      </c>
      <c r="E198" s="92">
        <v>40853</v>
      </c>
      <c r="F198" s="92">
        <v>72128</v>
      </c>
      <c r="G198" s="92">
        <v>98274</v>
      </c>
      <c r="H198" s="92">
        <v>116828</v>
      </c>
      <c r="I198" s="92">
        <v>132089</v>
      </c>
      <c r="J198" s="92" t="s">
        <v>182</v>
      </c>
      <c r="K198" s="86"/>
    </row>
    <row r="199" spans="2:11" ht="11.25">
      <c r="B199" s="85"/>
      <c r="C199" s="131"/>
      <c r="D199" s="92" t="s">
        <v>184</v>
      </c>
      <c r="E199" s="92">
        <v>3.96</v>
      </c>
      <c r="F199" s="92">
        <v>4.94</v>
      </c>
      <c r="G199" s="92">
        <v>5.63</v>
      </c>
      <c r="H199" s="92">
        <v>5.97</v>
      </c>
      <c r="I199" s="92">
        <v>6.33</v>
      </c>
      <c r="J199" s="92" t="s">
        <v>182</v>
      </c>
      <c r="K199" s="86"/>
    </row>
    <row r="200" spans="2:11" ht="11.25">
      <c r="B200" s="85"/>
      <c r="C200" s="131" t="s">
        <v>229</v>
      </c>
      <c r="D200" s="92" t="s">
        <v>181</v>
      </c>
      <c r="E200" s="92">
        <v>116.2</v>
      </c>
      <c r="F200" s="92">
        <v>183.3</v>
      </c>
      <c r="G200" s="92">
        <v>224.1</v>
      </c>
      <c r="H200" s="92">
        <v>272.1</v>
      </c>
      <c r="I200" s="92">
        <v>272.1</v>
      </c>
      <c r="J200" s="92" t="s">
        <v>182</v>
      </c>
      <c r="K200" s="86"/>
    </row>
    <row r="201" spans="2:11" ht="11.25">
      <c r="B201" s="85"/>
      <c r="C201" s="131"/>
      <c r="D201" s="92" t="s">
        <v>183</v>
      </c>
      <c r="E201" s="92">
        <v>39389</v>
      </c>
      <c r="F201" s="92">
        <v>67956</v>
      </c>
      <c r="G201" s="92">
        <v>94481</v>
      </c>
      <c r="H201" s="92">
        <v>113148</v>
      </c>
      <c r="I201" s="92">
        <v>118166</v>
      </c>
      <c r="J201" s="92" t="s">
        <v>182</v>
      </c>
      <c r="K201" s="86"/>
    </row>
    <row r="202" spans="2:11" ht="11.25">
      <c r="B202" s="85"/>
      <c r="C202" s="131"/>
      <c r="D202" s="92" t="s">
        <v>184</v>
      </c>
      <c r="E202" s="92">
        <v>13.36</v>
      </c>
      <c r="F202" s="92">
        <v>15.9</v>
      </c>
      <c r="G202" s="92">
        <v>19.06</v>
      </c>
      <c r="H202" s="92">
        <v>20.9</v>
      </c>
      <c r="I202" s="92">
        <v>21.82</v>
      </c>
      <c r="J202" s="92" t="s">
        <v>182</v>
      </c>
      <c r="K202" s="86"/>
    </row>
    <row r="203" spans="2:11" ht="11.25">
      <c r="B203" s="85"/>
      <c r="C203" s="131" t="s">
        <v>230</v>
      </c>
      <c r="D203" s="92" t="s">
        <v>181</v>
      </c>
      <c r="E203" s="92">
        <v>123.5</v>
      </c>
      <c r="F203" s="92">
        <v>181.6</v>
      </c>
      <c r="G203" s="92">
        <v>227.9</v>
      </c>
      <c r="H203" s="92">
        <v>259.3</v>
      </c>
      <c r="I203" s="92">
        <v>288.2</v>
      </c>
      <c r="J203" s="92" t="s">
        <v>182</v>
      </c>
      <c r="K203" s="86"/>
    </row>
    <row r="204" spans="2:11" ht="11.25">
      <c r="B204" s="85"/>
      <c r="C204" s="131"/>
      <c r="D204" s="92" t="s">
        <v>183</v>
      </c>
      <c r="E204" s="92">
        <v>40305</v>
      </c>
      <c r="F204" s="92">
        <v>73488</v>
      </c>
      <c r="G204" s="92">
        <v>94728</v>
      </c>
      <c r="H204" s="92">
        <v>117719</v>
      </c>
      <c r="I204" s="92">
        <v>133035</v>
      </c>
      <c r="J204" s="92" t="s">
        <v>182</v>
      </c>
      <c r="K204" s="86"/>
    </row>
    <row r="205" spans="2:11" ht="11.25">
      <c r="B205" s="85"/>
      <c r="C205" s="131"/>
      <c r="D205" s="92" t="s">
        <v>184</v>
      </c>
      <c r="E205" s="92">
        <v>14.02</v>
      </c>
      <c r="F205" s="92">
        <v>17.48</v>
      </c>
      <c r="G205" s="92">
        <v>19.95</v>
      </c>
      <c r="H205" s="92">
        <v>21.12</v>
      </c>
      <c r="I205" s="92">
        <v>22.41</v>
      </c>
      <c r="J205" s="92" t="s">
        <v>182</v>
      </c>
      <c r="K205" s="86"/>
    </row>
    <row r="206" spans="2:11" ht="10.5" customHeight="1">
      <c r="B206" s="85"/>
      <c r="C206" s="131" t="s">
        <v>335</v>
      </c>
      <c r="D206" s="92" t="s">
        <v>181</v>
      </c>
      <c r="E206" s="92">
        <v>107.7</v>
      </c>
      <c r="F206" s="92">
        <v>177.7</v>
      </c>
      <c r="G206" s="92">
        <v>217.6</v>
      </c>
      <c r="H206" s="92">
        <v>246.6</v>
      </c>
      <c r="I206" s="92">
        <v>294</v>
      </c>
      <c r="J206" s="92" t="s">
        <v>182</v>
      </c>
      <c r="K206" s="86"/>
    </row>
    <row r="207" spans="2:11" ht="11.25">
      <c r="B207" s="85"/>
      <c r="C207" s="131"/>
      <c r="D207" s="92" t="s">
        <v>183</v>
      </c>
      <c r="E207" s="92">
        <v>82654</v>
      </c>
      <c r="F207" s="92">
        <v>152083</v>
      </c>
      <c r="G207" s="92">
        <v>202502</v>
      </c>
      <c r="H207" s="92">
        <v>233084</v>
      </c>
      <c r="I207" s="92">
        <v>295901</v>
      </c>
      <c r="J207" s="92" t="s">
        <v>182</v>
      </c>
      <c r="K207" s="86"/>
    </row>
    <row r="208" spans="2:11" ht="11.25">
      <c r="B208" s="85"/>
      <c r="C208" s="131"/>
      <c r="D208" s="92" t="s">
        <v>184</v>
      </c>
      <c r="E208" s="92">
        <v>3.21</v>
      </c>
      <c r="F208" s="92">
        <v>3.79</v>
      </c>
      <c r="G208" s="92">
        <v>4.17</v>
      </c>
      <c r="H208" s="92">
        <v>4.62</v>
      </c>
      <c r="I208" s="92">
        <v>5.36</v>
      </c>
      <c r="J208" s="92" t="s">
        <v>182</v>
      </c>
      <c r="K208" s="86"/>
    </row>
    <row r="209" spans="2:11" ht="11.25">
      <c r="B209" s="85"/>
      <c r="C209" s="131" t="s">
        <v>232</v>
      </c>
      <c r="D209" s="92" t="s">
        <v>181</v>
      </c>
      <c r="E209" s="92">
        <v>74.6</v>
      </c>
      <c r="F209" s="92">
        <v>115.9</v>
      </c>
      <c r="G209" s="92">
        <v>165.8</v>
      </c>
      <c r="H209" s="92">
        <v>204.1</v>
      </c>
      <c r="I209" s="92" t="s">
        <v>182</v>
      </c>
      <c r="J209" s="92" t="s">
        <v>182</v>
      </c>
      <c r="K209" s="86"/>
    </row>
    <row r="210" spans="2:11" ht="11.25">
      <c r="B210" s="85"/>
      <c r="C210" s="131"/>
      <c r="D210" s="92" t="s">
        <v>183</v>
      </c>
      <c r="E210" s="92">
        <v>25683</v>
      </c>
      <c r="F210" s="92">
        <v>53694</v>
      </c>
      <c r="G210" s="92">
        <v>78469</v>
      </c>
      <c r="H210" s="92">
        <v>88324</v>
      </c>
      <c r="I210" s="92" t="s">
        <v>182</v>
      </c>
      <c r="J210" s="92" t="s">
        <v>182</v>
      </c>
      <c r="K210" s="86"/>
    </row>
    <row r="211" spans="2:11" ht="11.25">
      <c r="B211" s="85"/>
      <c r="C211" s="131"/>
      <c r="D211" s="92" t="s">
        <v>184</v>
      </c>
      <c r="E211" s="92">
        <v>3.16</v>
      </c>
      <c r="F211" s="92">
        <v>3.84</v>
      </c>
      <c r="G211" s="92">
        <v>4.21</v>
      </c>
      <c r="H211" s="92">
        <v>4.55</v>
      </c>
      <c r="I211" s="92" t="s">
        <v>182</v>
      </c>
      <c r="J211" s="92" t="s">
        <v>182</v>
      </c>
      <c r="K211" s="86"/>
    </row>
    <row r="212" spans="2:11" ht="11.25">
      <c r="B212" s="85"/>
      <c r="C212" s="131" t="s">
        <v>336</v>
      </c>
      <c r="D212" s="92" t="s">
        <v>181</v>
      </c>
      <c r="E212" s="92">
        <v>106.4</v>
      </c>
      <c r="F212" s="92">
        <v>162.8</v>
      </c>
      <c r="G212" s="92">
        <v>194.7</v>
      </c>
      <c r="H212" s="92">
        <v>218.2</v>
      </c>
      <c r="I212" s="92">
        <v>272.4</v>
      </c>
      <c r="J212" s="92"/>
      <c r="K212" s="86"/>
    </row>
    <row r="213" spans="2:11" ht="11.25">
      <c r="B213" s="85"/>
      <c r="C213" s="131"/>
      <c r="D213" s="92" t="s">
        <v>183</v>
      </c>
      <c r="E213" s="92">
        <v>70948</v>
      </c>
      <c r="F213" s="92">
        <v>123071</v>
      </c>
      <c r="G213" s="92">
        <v>162486</v>
      </c>
      <c r="H213" s="92">
        <v>189541</v>
      </c>
      <c r="I213" s="92">
        <v>196496</v>
      </c>
      <c r="J213" s="92"/>
      <c r="K213" s="86"/>
    </row>
    <row r="214" spans="2:11" ht="11.25">
      <c r="B214" s="85"/>
      <c r="C214" s="131"/>
      <c r="D214" s="92" t="s">
        <v>184</v>
      </c>
      <c r="E214" s="92">
        <v>6.68</v>
      </c>
      <c r="F214" s="92">
        <v>7.95</v>
      </c>
      <c r="G214" s="92">
        <v>8.88</v>
      </c>
      <c r="H214" s="92">
        <v>9.75</v>
      </c>
      <c r="I214" s="92">
        <v>10.24</v>
      </c>
      <c r="J214" s="92"/>
      <c r="K214" s="86"/>
    </row>
    <row r="215" spans="2:11" ht="11.25">
      <c r="B215" s="85"/>
      <c r="C215" s="131" t="s">
        <v>337</v>
      </c>
      <c r="D215" s="92" t="s">
        <v>181</v>
      </c>
      <c r="E215" s="92">
        <v>157.25</v>
      </c>
      <c r="F215" s="92">
        <v>240.59</v>
      </c>
      <c r="G215" s="92">
        <v>287.77</v>
      </c>
      <c r="H215" s="92">
        <v>313.88</v>
      </c>
      <c r="I215" s="92">
        <v>402.56</v>
      </c>
      <c r="J215" s="92"/>
      <c r="K215" s="86"/>
    </row>
    <row r="216" spans="2:11" ht="11.25">
      <c r="B216" s="85"/>
      <c r="C216" s="131"/>
      <c r="D216" s="92" t="s">
        <v>183</v>
      </c>
      <c r="E216" s="92">
        <v>38356</v>
      </c>
      <c r="F216" s="92">
        <v>69424</v>
      </c>
      <c r="G216" s="92">
        <v>92054</v>
      </c>
      <c r="H216" s="92">
        <v>105862</v>
      </c>
      <c r="I216" s="92">
        <v>147670</v>
      </c>
      <c r="J216" s="92"/>
      <c r="K216" s="86"/>
    </row>
    <row r="217" spans="2:11" ht="11.25">
      <c r="B217" s="85"/>
      <c r="C217" s="131"/>
      <c r="D217" s="92" t="s">
        <v>184</v>
      </c>
      <c r="E217" s="92">
        <v>8.48</v>
      </c>
      <c r="F217" s="92">
        <v>10.09</v>
      </c>
      <c r="G217" s="92">
        <v>11.28</v>
      </c>
      <c r="H217" s="92">
        <v>12.38</v>
      </c>
      <c r="I217" s="92">
        <v>12.99</v>
      </c>
      <c r="J217" s="92"/>
      <c r="K217" s="86"/>
    </row>
    <row r="218" spans="2:11" ht="11.25">
      <c r="B218" s="85"/>
      <c r="C218" s="131" t="s">
        <v>338</v>
      </c>
      <c r="D218" s="92" t="s">
        <v>181</v>
      </c>
      <c r="E218" s="92">
        <v>106.9</v>
      </c>
      <c r="F218" s="92">
        <v>171</v>
      </c>
      <c r="G218" s="92" t="s">
        <v>233</v>
      </c>
      <c r="H218" s="92">
        <v>237.3</v>
      </c>
      <c r="I218" s="92">
        <v>267.3</v>
      </c>
      <c r="J218" s="92"/>
      <c r="K218" s="86"/>
    </row>
    <row r="219" spans="2:11" ht="11.25">
      <c r="B219" s="85"/>
      <c r="C219" s="131"/>
      <c r="D219" s="92" t="s">
        <v>183</v>
      </c>
      <c r="E219" s="92">
        <v>71332</v>
      </c>
      <c r="F219" s="92">
        <v>124061</v>
      </c>
      <c r="G219" s="92">
        <v>164221</v>
      </c>
      <c r="H219" s="92">
        <v>189771</v>
      </c>
      <c r="I219" s="92">
        <v>195463</v>
      </c>
      <c r="J219" s="92"/>
      <c r="K219" s="86"/>
    </row>
    <row r="220" spans="2:11" ht="11.25">
      <c r="B220" s="85"/>
      <c r="C220" s="131"/>
      <c r="D220" s="92" t="s">
        <v>184</v>
      </c>
      <c r="E220" s="92">
        <v>4.24</v>
      </c>
      <c r="F220" s="92">
        <v>4.96</v>
      </c>
      <c r="G220" s="92">
        <v>5.5</v>
      </c>
      <c r="H220" s="92">
        <v>5.9</v>
      </c>
      <c r="I220" s="92">
        <v>6.44</v>
      </c>
      <c r="J220" s="92"/>
      <c r="K220" s="86"/>
    </row>
    <row r="221" spans="2:11" ht="11.25">
      <c r="B221" s="85"/>
      <c r="C221" s="131" t="s">
        <v>339</v>
      </c>
      <c r="D221" s="92" t="s">
        <v>181</v>
      </c>
      <c r="E221" s="92">
        <v>105.2</v>
      </c>
      <c r="F221" s="92">
        <v>167.2</v>
      </c>
      <c r="G221" s="92">
        <v>208.2</v>
      </c>
      <c r="H221" s="92">
        <v>212.4</v>
      </c>
      <c r="I221" s="92">
        <v>242.9</v>
      </c>
      <c r="J221" s="92" t="s">
        <v>182</v>
      </c>
      <c r="K221" s="86"/>
    </row>
    <row r="222" spans="2:11" ht="11.25">
      <c r="B222" s="85"/>
      <c r="C222" s="131" t="e">
        <f>-КО-806</f>
        <v>#NAME?</v>
      </c>
      <c r="D222" s="92" t="s">
        <v>183</v>
      </c>
      <c r="E222" s="92">
        <v>80584</v>
      </c>
      <c r="F222" s="92">
        <v>150693</v>
      </c>
      <c r="G222" s="92">
        <v>183733</v>
      </c>
      <c r="H222" s="92">
        <v>198238</v>
      </c>
      <c r="I222" s="92">
        <v>233695</v>
      </c>
      <c r="J222" s="92" t="s">
        <v>182</v>
      </c>
      <c r="K222" s="86"/>
    </row>
    <row r="223" spans="2:11" ht="11.25">
      <c r="B223" s="85"/>
      <c r="C223" s="131" t="s">
        <v>231</v>
      </c>
      <c r="D223" s="92" t="s">
        <v>184</v>
      </c>
      <c r="E223" s="92">
        <v>4.13</v>
      </c>
      <c r="F223" s="92">
        <v>4.83</v>
      </c>
      <c r="G223" s="92">
        <v>5.37</v>
      </c>
      <c r="H223" s="92">
        <v>5.86</v>
      </c>
      <c r="I223" s="92">
        <v>6.11</v>
      </c>
      <c r="J223" s="92" t="s">
        <v>182</v>
      </c>
      <c r="K223" s="86"/>
    </row>
    <row r="224" spans="2:11" ht="11.25">
      <c r="B224" s="85"/>
      <c r="C224" s="131" t="s">
        <v>340</v>
      </c>
      <c r="D224" s="92" t="s">
        <v>181</v>
      </c>
      <c r="E224" s="92">
        <v>101.3</v>
      </c>
      <c r="F224" s="92">
        <v>168.8</v>
      </c>
      <c r="G224" s="92">
        <v>236.2</v>
      </c>
      <c r="H224" s="92">
        <v>261.9</v>
      </c>
      <c r="I224" s="92">
        <v>279.3</v>
      </c>
      <c r="J224" s="92" t="s">
        <v>182</v>
      </c>
      <c r="K224" s="86"/>
    </row>
    <row r="225" spans="2:11" ht="11.25">
      <c r="B225" s="85"/>
      <c r="C225" s="131" t="s">
        <v>234</v>
      </c>
      <c r="D225" s="92" t="s">
        <v>183</v>
      </c>
      <c r="E225" s="92">
        <v>67570</v>
      </c>
      <c r="F225" s="92">
        <v>117211</v>
      </c>
      <c r="G225" s="92">
        <v>154750</v>
      </c>
      <c r="H225" s="92">
        <v>180517</v>
      </c>
      <c r="I225" s="92">
        <v>187141</v>
      </c>
      <c r="J225" s="92" t="s">
        <v>182</v>
      </c>
      <c r="K225" s="86"/>
    </row>
    <row r="226" spans="2:11" ht="11.25">
      <c r="B226" s="85"/>
      <c r="C226" s="131" t="s">
        <v>235</v>
      </c>
      <c r="D226" s="92" t="s">
        <v>184</v>
      </c>
      <c r="E226" s="92">
        <v>3.55</v>
      </c>
      <c r="F226" s="92">
        <v>4.19</v>
      </c>
      <c r="G226" s="92">
        <v>4.91</v>
      </c>
      <c r="H226" s="92">
        <v>5.11</v>
      </c>
      <c r="I226" s="92">
        <v>5.37</v>
      </c>
      <c r="J226" s="92" t="s">
        <v>182</v>
      </c>
      <c r="K226" s="86"/>
    </row>
    <row r="227" spans="2:11" ht="11.25">
      <c r="B227" s="85"/>
      <c r="C227" s="131" t="s">
        <v>341</v>
      </c>
      <c r="D227" s="92" t="s">
        <v>181</v>
      </c>
      <c r="E227" s="92">
        <v>102.5</v>
      </c>
      <c r="F227" s="92">
        <v>179.7</v>
      </c>
      <c r="G227" s="92">
        <v>238.4</v>
      </c>
      <c r="H227" s="92">
        <v>264.6</v>
      </c>
      <c r="I227" s="92">
        <v>281.8</v>
      </c>
      <c r="J227" s="92" t="s">
        <v>182</v>
      </c>
      <c r="K227" s="86"/>
    </row>
    <row r="228" spans="2:11" ht="11.25">
      <c r="B228" s="85"/>
      <c r="C228" s="131"/>
      <c r="D228" s="92" t="s">
        <v>183</v>
      </c>
      <c r="E228" s="92">
        <v>69634</v>
      </c>
      <c r="F228" s="92">
        <v>119513</v>
      </c>
      <c r="G228" s="92">
        <v>158433</v>
      </c>
      <c r="H228" s="92">
        <v>183573</v>
      </c>
      <c r="I228" s="92">
        <v>188905</v>
      </c>
      <c r="J228" s="92" t="s">
        <v>182</v>
      </c>
      <c r="K228" s="86"/>
    </row>
    <row r="229" spans="2:11" ht="11.25">
      <c r="B229" s="85"/>
      <c r="C229" s="131"/>
      <c r="D229" s="92" t="s">
        <v>184</v>
      </c>
      <c r="E229" s="92">
        <v>3.69</v>
      </c>
      <c r="F229" s="92">
        <v>4.22</v>
      </c>
      <c r="G229" s="92">
        <v>5.04</v>
      </c>
      <c r="H229" s="92">
        <v>5.13</v>
      </c>
      <c r="I229" s="92">
        <v>5.44</v>
      </c>
      <c r="J229" s="92" t="s">
        <v>182</v>
      </c>
      <c r="K229" s="86"/>
    </row>
    <row r="230" spans="2:11" ht="11.25">
      <c r="B230" s="85"/>
      <c r="C230" s="131" t="s">
        <v>342</v>
      </c>
      <c r="D230" s="92" t="s">
        <v>181</v>
      </c>
      <c r="E230" s="92">
        <v>101.8</v>
      </c>
      <c r="F230" s="92">
        <v>171.6</v>
      </c>
      <c r="G230" s="92">
        <v>236.9</v>
      </c>
      <c r="H230" s="92">
        <v>261.8</v>
      </c>
      <c r="I230" s="92">
        <v>279.4</v>
      </c>
      <c r="J230" s="92" t="s">
        <v>182</v>
      </c>
      <c r="K230" s="86"/>
    </row>
    <row r="231" spans="2:11" ht="11.25">
      <c r="B231" s="85"/>
      <c r="C231" s="131"/>
      <c r="D231" s="92" t="s">
        <v>183</v>
      </c>
      <c r="E231" s="92">
        <v>67936</v>
      </c>
      <c r="F231" s="92">
        <v>118154</v>
      </c>
      <c r="G231" s="92">
        <v>156401</v>
      </c>
      <c r="H231" s="92">
        <v>180734</v>
      </c>
      <c r="I231" s="92">
        <v>186156</v>
      </c>
      <c r="J231" s="92" t="s">
        <v>182</v>
      </c>
      <c r="K231" s="86"/>
    </row>
    <row r="232" spans="2:11" ht="11.25">
      <c r="B232" s="85"/>
      <c r="C232" s="131"/>
      <c r="D232" s="92" t="s">
        <v>184</v>
      </c>
      <c r="E232" s="92">
        <v>3.59</v>
      </c>
      <c r="F232" s="92">
        <v>4.19</v>
      </c>
      <c r="G232" s="92">
        <v>4.96</v>
      </c>
      <c r="H232" s="92">
        <v>5.12</v>
      </c>
      <c r="I232" s="92">
        <v>5.38</v>
      </c>
      <c r="J232" s="92" t="s">
        <v>182</v>
      </c>
      <c r="K232" s="86"/>
    </row>
    <row r="233" spans="2:11" ht="11.25">
      <c r="B233" s="85"/>
      <c r="C233" s="131" t="s">
        <v>343</v>
      </c>
      <c r="D233" s="92" t="s">
        <v>181</v>
      </c>
      <c r="E233" s="92">
        <v>114.8</v>
      </c>
      <c r="F233" s="92">
        <v>180.4</v>
      </c>
      <c r="G233" s="92">
        <v>239.5</v>
      </c>
      <c r="H233" s="92">
        <v>263.4</v>
      </c>
      <c r="I233" s="92">
        <v>282.1</v>
      </c>
      <c r="J233" s="92" t="s">
        <v>182</v>
      </c>
      <c r="K233" s="86"/>
    </row>
    <row r="234" spans="2:11" ht="11.25">
      <c r="B234" s="85"/>
      <c r="C234" s="131" t="s">
        <v>234</v>
      </c>
      <c r="D234" s="92" t="s">
        <v>183</v>
      </c>
      <c r="E234" s="92">
        <v>70403</v>
      </c>
      <c r="F234" s="92">
        <v>120471</v>
      </c>
      <c r="G234" s="92">
        <v>157166</v>
      </c>
      <c r="H234" s="92">
        <v>183771</v>
      </c>
      <c r="I234" s="92">
        <v>191832</v>
      </c>
      <c r="J234" s="92" t="s">
        <v>182</v>
      </c>
      <c r="K234" s="86"/>
    </row>
    <row r="235" spans="2:11" ht="11.25">
      <c r="B235" s="85"/>
      <c r="C235" s="131" t="s">
        <v>235</v>
      </c>
      <c r="D235" s="92" t="s">
        <v>184</v>
      </c>
      <c r="E235" s="92">
        <v>3.95</v>
      </c>
      <c r="F235" s="92">
        <v>4.81</v>
      </c>
      <c r="G235" s="92">
        <v>5.51</v>
      </c>
      <c r="H235" s="92">
        <v>6.01</v>
      </c>
      <c r="I235" s="92">
        <v>6.31</v>
      </c>
      <c r="J235" s="92" t="s">
        <v>182</v>
      </c>
      <c r="K235" s="86"/>
    </row>
    <row r="236" spans="2:11" ht="10.5" customHeight="1">
      <c r="B236" s="85"/>
      <c r="C236" s="131" t="s">
        <v>344</v>
      </c>
      <c r="D236" s="92" t="s">
        <v>181</v>
      </c>
      <c r="E236" s="92">
        <v>117.9</v>
      </c>
      <c r="F236" s="92">
        <v>182.9</v>
      </c>
      <c r="G236" s="92">
        <v>241.7</v>
      </c>
      <c r="H236" s="92">
        <v>267.2</v>
      </c>
      <c r="I236" s="92">
        <v>282.4</v>
      </c>
      <c r="J236" s="92" t="s">
        <v>182</v>
      </c>
      <c r="K236" s="86"/>
    </row>
    <row r="237" spans="2:11" ht="11.25">
      <c r="B237" s="85"/>
      <c r="C237" s="131"/>
      <c r="D237" s="92" t="s">
        <v>183</v>
      </c>
      <c r="E237" s="92">
        <v>70725</v>
      </c>
      <c r="F237" s="92">
        <v>120782</v>
      </c>
      <c r="G237" s="92">
        <v>159377</v>
      </c>
      <c r="H237" s="92">
        <v>186299</v>
      </c>
      <c r="I237" s="92">
        <v>193071</v>
      </c>
      <c r="J237" s="92" t="s">
        <v>182</v>
      </c>
      <c r="K237" s="86"/>
    </row>
    <row r="238" spans="2:11" ht="11.25">
      <c r="B238" s="85"/>
      <c r="C238" s="131"/>
      <c r="D238" s="92" t="s">
        <v>184</v>
      </c>
      <c r="E238" s="92">
        <v>4.05</v>
      </c>
      <c r="F238" s="92">
        <v>4.97</v>
      </c>
      <c r="G238" s="92">
        <v>5.62</v>
      </c>
      <c r="H238" s="92">
        <v>6.18</v>
      </c>
      <c r="I238" s="92">
        <v>6.38</v>
      </c>
      <c r="J238" s="92" t="s">
        <v>182</v>
      </c>
      <c r="K238" s="86"/>
    </row>
    <row r="239" spans="2:11" ht="10.5" customHeight="1">
      <c r="B239" s="85"/>
      <c r="C239" s="131" t="s">
        <v>345</v>
      </c>
      <c r="D239" s="92" t="s">
        <v>181</v>
      </c>
      <c r="E239" s="92">
        <v>116.8</v>
      </c>
      <c r="F239" s="92">
        <v>181.6</v>
      </c>
      <c r="G239" s="92">
        <v>239.9</v>
      </c>
      <c r="H239" s="92">
        <v>265.8</v>
      </c>
      <c r="I239" s="92">
        <v>282.2</v>
      </c>
      <c r="J239" s="92" t="s">
        <v>182</v>
      </c>
      <c r="K239" s="86"/>
    </row>
    <row r="240" spans="2:11" ht="11.25">
      <c r="B240" s="85"/>
      <c r="C240" s="131"/>
      <c r="D240" s="92" t="s">
        <v>183</v>
      </c>
      <c r="E240" s="92">
        <v>70636</v>
      </c>
      <c r="F240" s="92">
        <v>120494</v>
      </c>
      <c r="G240" s="92">
        <v>157310</v>
      </c>
      <c r="H240" s="92">
        <v>185392</v>
      </c>
      <c r="I240" s="92">
        <v>192491</v>
      </c>
      <c r="J240" s="92" t="s">
        <v>182</v>
      </c>
      <c r="K240" s="86"/>
    </row>
    <row r="241" spans="2:11" ht="11.25">
      <c r="B241" s="85"/>
      <c r="C241" s="131"/>
      <c r="D241" s="92" t="s">
        <v>184</v>
      </c>
      <c r="E241" s="92">
        <v>3.98</v>
      </c>
      <c r="F241" s="92">
        <v>4.92</v>
      </c>
      <c r="G241" s="92">
        <v>5.59</v>
      </c>
      <c r="H241" s="92">
        <v>6.11</v>
      </c>
      <c r="I241" s="92">
        <v>6.35</v>
      </c>
      <c r="J241" s="92" t="s">
        <v>182</v>
      </c>
      <c r="K241" s="86"/>
    </row>
    <row r="242" spans="2:11" ht="11.25">
      <c r="B242" s="85"/>
      <c r="C242" s="131" t="s">
        <v>346</v>
      </c>
      <c r="D242" s="92" t="s">
        <v>181</v>
      </c>
      <c r="E242" s="92">
        <v>121.9</v>
      </c>
      <c r="F242" s="92">
        <v>182.9</v>
      </c>
      <c r="G242" s="92">
        <v>242.1</v>
      </c>
      <c r="H242" s="92">
        <v>269.4</v>
      </c>
      <c r="I242" s="92">
        <v>282.9</v>
      </c>
      <c r="J242" s="92" t="s">
        <v>182</v>
      </c>
      <c r="K242" s="86"/>
    </row>
    <row r="243" spans="2:11" ht="11.25">
      <c r="B243" s="85"/>
      <c r="C243" s="131" t="s">
        <v>227</v>
      </c>
      <c r="D243" s="92" t="s">
        <v>183</v>
      </c>
      <c r="E243" s="92">
        <v>70824</v>
      </c>
      <c r="F243" s="92">
        <v>129280</v>
      </c>
      <c r="G243" s="92">
        <v>161080</v>
      </c>
      <c r="H243" s="92">
        <v>189691</v>
      </c>
      <c r="I243" s="92">
        <v>194936</v>
      </c>
      <c r="J243" s="92" t="s">
        <v>182</v>
      </c>
      <c r="K243" s="86"/>
    </row>
    <row r="244" spans="2:11" ht="11.25">
      <c r="B244" s="85"/>
      <c r="C244" s="131"/>
      <c r="D244" s="92" t="s">
        <v>184</v>
      </c>
      <c r="E244" s="92">
        <v>4.38</v>
      </c>
      <c r="F244" s="92">
        <v>5.19</v>
      </c>
      <c r="G244" s="92">
        <v>5.79</v>
      </c>
      <c r="H244" s="92">
        <v>6.21</v>
      </c>
      <c r="I244" s="92">
        <v>6.41</v>
      </c>
      <c r="J244" s="92" t="s">
        <v>182</v>
      </c>
      <c r="K244" s="86"/>
    </row>
    <row r="245" spans="2:11" ht="11.25">
      <c r="B245" s="85"/>
      <c r="C245" s="131" t="s">
        <v>347</v>
      </c>
      <c r="D245" s="92" t="s">
        <v>181</v>
      </c>
      <c r="E245" s="92">
        <v>127.4</v>
      </c>
      <c r="F245" s="92">
        <v>184.2</v>
      </c>
      <c r="G245" s="92">
        <v>244.9</v>
      </c>
      <c r="H245" s="92">
        <v>277.1</v>
      </c>
      <c r="I245" s="92">
        <v>284.6</v>
      </c>
      <c r="J245" s="92" t="s">
        <v>182</v>
      </c>
      <c r="K245" s="86"/>
    </row>
    <row r="246" spans="2:11" ht="11.25">
      <c r="B246" s="85"/>
      <c r="C246" s="131" t="s">
        <v>237</v>
      </c>
      <c r="D246" s="92" t="s">
        <v>183</v>
      </c>
      <c r="E246" s="92">
        <v>70851</v>
      </c>
      <c r="F246" s="92">
        <v>132173</v>
      </c>
      <c r="G246" s="92">
        <v>162009</v>
      </c>
      <c r="H246" s="92">
        <v>192688</v>
      </c>
      <c r="I246" s="92">
        <v>196751</v>
      </c>
      <c r="J246" s="92" t="s">
        <v>182</v>
      </c>
      <c r="K246" s="86"/>
    </row>
    <row r="247" spans="2:11" ht="11.25">
      <c r="B247" s="85"/>
      <c r="C247" s="131"/>
      <c r="D247" s="92" t="s">
        <v>184</v>
      </c>
      <c r="E247" s="92">
        <v>4.44</v>
      </c>
      <c r="F247" s="92">
        <v>5.28</v>
      </c>
      <c r="G247" s="92">
        <v>5.85</v>
      </c>
      <c r="H247" s="92">
        <v>6.24</v>
      </c>
      <c r="I247" s="92">
        <v>6.52</v>
      </c>
      <c r="J247" s="92" t="s">
        <v>182</v>
      </c>
      <c r="K247" s="86"/>
    </row>
    <row r="248" spans="2:11" ht="11.25">
      <c r="B248" s="85"/>
      <c r="C248" s="131" t="s">
        <v>348</v>
      </c>
      <c r="D248" s="92" t="s">
        <v>181</v>
      </c>
      <c r="E248" s="92">
        <v>125.8</v>
      </c>
      <c r="F248" s="92">
        <v>183.1</v>
      </c>
      <c r="G248" s="92">
        <v>242.4</v>
      </c>
      <c r="H248" s="92">
        <v>275.4</v>
      </c>
      <c r="I248" s="92">
        <v>283.7</v>
      </c>
      <c r="J248" s="92" t="s">
        <v>182</v>
      </c>
      <c r="K248" s="86"/>
    </row>
    <row r="249" spans="2:11" ht="11.25">
      <c r="B249" s="85"/>
      <c r="C249" s="131" t="s">
        <v>236</v>
      </c>
      <c r="D249" s="92" t="s">
        <v>183</v>
      </c>
      <c r="E249" s="92">
        <v>70830</v>
      </c>
      <c r="F249" s="92">
        <v>128070</v>
      </c>
      <c r="G249" s="92">
        <v>161331</v>
      </c>
      <c r="H249" s="92">
        <v>192556</v>
      </c>
      <c r="I249" s="92">
        <v>195070</v>
      </c>
      <c r="J249" s="92" t="s">
        <v>182</v>
      </c>
      <c r="K249" s="86"/>
    </row>
    <row r="250" spans="2:11" ht="11.25">
      <c r="B250" s="85"/>
      <c r="C250" s="131"/>
      <c r="D250" s="92" t="s">
        <v>184</v>
      </c>
      <c r="E250" s="92">
        <v>4.39</v>
      </c>
      <c r="F250" s="92">
        <v>5.21</v>
      </c>
      <c r="G250" s="92">
        <v>5.81</v>
      </c>
      <c r="H250" s="92">
        <v>6.22</v>
      </c>
      <c r="I250" s="92">
        <v>6.48</v>
      </c>
      <c r="J250" s="92" t="s">
        <v>182</v>
      </c>
      <c r="K250" s="86"/>
    </row>
    <row r="251" spans="2:11" ht="11.25">
      <c r="B251" s="85"/>
      <c r="C251" s="131" t="s">
        <v>349</v>
      </c>
      <c r="D251" s="92" t="s">
        <v>181</v>
      </c>
      <c r="E251" s="92">
        <v>120.6</v>
      </c>
      <c r="F251" s="92">
        <v>260.3</v>
      </c>
      <c r="G251" s="92">
        <v>336.8</v>
      </c>
      <c r="H251" s="92" t="s">
        <v>182</v>
      </c>
      <c r="I251" s="92" t="s">
        <v>182</v>
      </c>
      <c r="J251" s="92" t="s">
        <v>182</v>
      </c>
      <c r="K251" s="86"/>
    </row>
    <row r="252" spans="2:11" ht="11.25">
      <c r="B252" s="85"/>
      <c r="C252" s="131"/>
      <c r="D252" s="92" t="s">
        <v>183</v>
      </c>
      <c r="E252" s="92">
        <v>109249</v>
      </c>
      <c r="F252" s="92">
        <v>234112</v>
      </c>
      <c r="G252" s="92">
        <v>373643</v>
      </c>
      <c r="H252" s="92" t="s">
        <v>182</v>
      </c>
      <c r="I252" s="92" t="s">
        <v>182</v>
      </c>
      <c r="J252" s="92" t="s">
        <v>182</v>
      </c>
      <c r="K252" s="86"/>
    </row>
    <row r="253" spans="2:11" ht="11.25">
      <c r="B253" s="85"/>
      <c r="C253" s="131"/>
      <c r="D253" s="92" t="s">
        <v>184</v>
      </c>
      <c r="E253" s="92">
        <v>1.61</v>
      </c>
      <c r="F253" s="92">
        <v>1.88</v>
      </c>
      <c r="G253" s="92">
        <v>2.13</v>
      </c>
      <c r="H253" s="92" t="s">
        <v>182</v>
      </c>
      <c r="I253" s="92" t="s">
        <v>182</v>
      </c>
      <c r="J253" s="92" t="s">
        <v>182</v>
      </c>
      <c r="K253" s="86"/>
    </row>
    <row r="254" spans="2:11" ht="11.25">
      <c r="B254" s="85"/>
      <c r="C254" s="131" t="s">
        <v>350</v>
      </c>
      <c r="D254" s="92" t="s">
        <v>181</v>
      </c>
      <c r="E254" s="92">
        <v>85</v>
      </c>
      <c r="F254" s="92">
        <v>135.2</v>
      </c>
      <c r="G254" s="92">
        <v>168.3</v>
      </c>
      <c r="H254" s="92">
        <v>171.7</v>
      </c>
      <c r="I254" s="92">
        <v>196.4</v>
      </c>
      <c r="J254" s="92" t="s">
        <v>182</v>
      </c>
      <c r="K254" s="86"/>
    </row>
    <row r="255" spans="2:11" ht="11.25">
      <c r="B255" s="85"/>
      <c r="C255" s="131" t="s">
        <v>238</v>
      </c>
      <c r="D255" s="92" t="s">
        <v>183</v>
      </c>
      <c r="E255" s="92">
        <v>74898</v>
      </c>
      <c r="F255" s="92">
        <v>140059</v>
      </c>
      <c r="G255" s="92">
        <v>170767</v>
      </c>
      <c r="H255" s="92">
        <v>184249</v>
      </c>
      <c r="I255" s="92">
        <v>217204</v>
      </c>
      <c r="J255" s="92" t="s">
        <v>182</v>
      </c>
      <c r="K255" s="86"/>
    </row>
    <row r="256" spans="2:11" ht="11.25">
      <c r="B256" s="85"/>
      <c r="C256" s="131" t="s">
        <v>239</v>
      </c>
      <c r="D256" s="92" t="s">
        <v>184</v>
      </c>
      <c r="E256" s="92">
        <v>4.32</v>
      </c>
      <c r="F256" s="92">
        <v>5.05</v>
      </c>
      <c r="G256" s="92">
        <v>5.62</v>
      </c>
      <c r="H256" s="92">
        <v>6.13</v>
      </c>
      <c r="I256" s="92">
        <v>6.4</v>
      </c>
      <c r="J256" s="92" t="s">
        <v>182</v>
      </c>
      <c r="K256" s="86"/>
    </row>
    <row r="257" spans="2:11" ht="11.25">
      <c r="B257" s="85"/>
      <c r="C257" s="131" t="s">
        <v>351</v>
      </c>
      <c r="D257" s="92" t="s">
        <v>181</v>
      </c>
      <c r="E257" s="92">
        <v>131.6</v>
      </c>
      <c r="F257" s="92">
        <v>207.5</v>
      </c>
      <c r="G257" s="92">
        <v>235.7</v>
      </c>
      <c r="H257" s="92">
        <v>246.1</v>
      </c>
      <c r="I257" s="92">
        <v>278.3</v>
      </c>
      <c r="J257" s="92">
        <v>299.9</v>
      </c>
      <c r="K257" s="86"/>
    </row>
    <row r="258" spans="2:11" ht="11.25">
      <c r="B258" s="85"/>
      <c r="C258" s="131"/>
      <c r="D258" s="92" t="s">
        <v>183</v>
      </c>
      <c r="E258" s="92">
        <v>55888</v>
      </c>
      <c r="F258" s="92">
        <v>122242</v>
      </c>
      <c r="G258" s="92">
        <v>166747</v>
      </c>
      <c r="H258" s="92">
        <v>182243</v>
      </c>
      <c r="I258" s="92">
        <v>203432</v>
      </c>
      <c r="J258" s="92">
        <v>221485</v>
      </c>
      <c r="K258" s="86"/>
    </row>
    <row r="259" spans="2:11" ht="11.25">
      <c r="B259" s="85"/>
      <c r="C259" s="131"/>
      <c r="D259" s="92" t="s">
        <v>184</v>
      </c>
      <c r="E259" s="92">
        <v>5.01</v>
      </c>
      <c r="F259" s="92">
        <v>5.47</v>
      </c>
      <c r="G259" s="92">
        <v>5.84</v>
      </c>
      <c r="H259" s="92">
        <v>6.14</v>
      </c>
      <c r="I259" s="92">
        <v>6.38</v>
      </c>
      <c r="J259" s="92">
        <v>6.51</v>
      </c>
      <c r="K259" s="86"/>
    </row>
    <row r="260" spans="2:11" ht="11.25">
      <c r="B260" s="85"/>
      <c r="C260" s="131" t="s">
        <v>352</v>
      </c>
      <c r="D260" s="92" t="s">
        <v>181</v>
      </c>
      <c r="E260" s="92">
        <v>134.5</v>
      </c>
      <c r="F260" s="92">
        <v>214.2</v>
      </c>
      <c r="G260" s="92">
        <v>238.3</v>
      </c>
      <c r="H260" s="92">
        <v>252.3</v>
      </c>
      <c r="I260" s="92">
        <v>283.1</v>
      </c>
      <c r="J260" s="92">
        <v>303.7</v>
      </c>
      <c r="K260" s="86"/>
    </row>
    <row r="261" spans="2:11" ht="11.25">
      <c r="B261" s="85"/>
      <c r="C261" s="131"/>
      <c r="D261" s="92" t="s">
        <v>183</v>
      </c>
      <c r="E261" s="92">
        <v>60348</v>
      </c>
      <c r="F261" s="92">
        <v>126427</v>
      </c>
      <c r="G261" s="92">
        <v>170450</v>
      </c>
      <c r="H261" s="92">
        <v>187468</v>
      </c>
      <c r="I261" s="92">
        <v>209319</v>
      </c>
      <c r="J261" s="92">
        <v>229913</v>
      </c>
      <c r="K261" s="86"/>
    </row>
    <row r="262" spans="2:11" ht="11.25">
      <c r="B262" s="85"/>
      <c r="C262" s="131"/>
      <c r="D262" s="92" t="s">
        <v>184</v>
      </c>
      <c r="E262" s="92">
        <v>5.45</v>
      </c>
      <c r="F262" s="92">
        <v>5.66</v>
      </c>
      <c r="G262" s="92">
        <v>6.14</v>
      </c>
      <c r="H262" s="92">
        <v>6.39</v>
      </c>
      <c r="I262" s="92">
        <v>6.78</v>
      </c>
      <c r="J262" s="92">
        <v>6.96</v>
      </c>
      <c r="K262" s="86"/>
    </row>
    <row r="263" spans="2:11" ht="11.25">
      <c r="B263" s="85"/>
      <c r="C263" s="131" t="s">
        <v>353</v>
      </c>
      <c r="D263" s="92" t="s">
        <v>181</v>
      </c>
      <c r="E263" s="92">
        <v>132</v>
      </c>
      <c r="F263" s="92">
        <v>208.4</v>
      </c>
      <c r="G263" s="92">
        <v>236.2</v>
      </c>
      <c r="H263" s="92">
        <v>248.2</v>
      </c>
      <c r="I263" s="92">
        <v>280.7</v>
      </c>
      <c r="J263" s="92">
        <v>298.6</v>
      </c>
      <c r="K263" s="86"/>
    </row>
    <row r="264" spans="2:11" ht="11.25">
      <c r="B264" s="85"/>
      <c r="C264" s="131"/>
      <c r="D264" s="92" t="s">
        <v>183</v>
      </c>
      <c r="E264" s="92">
        <v>57680</v>
      </c>
      <c r="F264" s="92">
        <v>121592</v>
      </c>
      <c r="G264" s="92">
        <v>166389</v>
      </c>
      <c r="H264" s="92">
        <v>178126</v>
      </c>
      <c r="I264" s="92">
        <v>205799</v>
      </c>
      <c r="J264" s="92">
        <v>223743</v>
      </c>
      <c r="K264" s="86"/>
    </row>
    <row r="265" spans="2:11" ht="11.25">
      <c r="B265" s="85"/>
      <c r="C265" s="131"/>
      <c r="D265" s="92" t="s">
        <v>184</v>
      </c>
      <c r="E265" s="92">
        <v>5.05</v>
      </c>
      <c r="F265" s="92">
        <v>5.6</v>
      </c>
      <c r="G265" s="92">
        <v>6</v>
      </c>
      <c r="H265" s="92">
        <v>6.28</v>
      </c>
      <c r="I265" s="92">
        <v>6.53</v>
      </c>
      <c r="J265" s="92">
        <v>6.68</v>
      </c>
      <c r="K265" s="86"/>
    </row>
    <row r="266" spans="2:11" ht="11.25">
      <c r="B266" s="85"/>
      <c r="C266" s="137" t="s">
        <v>241</v>
      </c>
      <c r="D266" s="92" t="s">
        <v>181</v>
      </c>
      <c r="E266" s="92">
        <v>147.5</v>
      </c>
      <c r="F266" s="92">
        <v>224.3</v>
      </c>
      <c r="G266" s="92">
        <v>252.9</v>
      </c>
      <c r="H266" s="92">
        <v>287.5</v>
      </c>
      <c r="I266" s="92">
        <v>306.6</v>
      </c>
      <c r="J266" s="92">
        <v>306.6</v>
      </c>
      <c r="K266" s="86"/>
    </row>
    <row r="267" spans="2:11" ht="11.25">
      <c r="B267" s="85"/>
      <c r="C267" s="138"/>
      <c r="D267" s="92" t="s">
        <v>183</v>
      </c>
      <c r="E267" s="92">
        <v>66864</v>
      </c>
      <c r="F267" s="92">
        <v>125235</v>
      </c>
      <c r="G267" s="92">
        <v>183486</v>
      </c>
      <c r="H267" s="92">
        <v>211634</v>
      </c>
      <c r="I267" s="92">
        <v>223893</v>
      </c>
      <c r="J267" s="92">
        <v>243979</v>
      </c>
      <c r="K267" s="86"/>
    </row>
    <row r="268" spans="2:11" ht="11.25">
      <c r="B268" s="85"/>
      <c r="C268" s="138"/>
      <c r="D268" s="92" t="s">
        <v>242</v>
      </c>
      <c r="E268" s="92">
        <v>3.39</v>
      </c>
      <c r="F268" s="92">
        <v>3.55</v>
      </c>
      <c r="G268" s="92">
        <v>3.66</v>
      </c>
      <c r="H268" s="92">
        <v>3.73</v>
      </c>
      <c r="I268" s="92">
        <v>3.79</v>
      </c>
      <c r="J268" s="92">
        <v>3.84</v>
      </c>
      <c r="K268" s="86"/>
    </row>
    <row r="269" spans="2:11" ht="11.25">
      <c r="B269" s="85"/>
      <c r="C269" s="139"/>
      <c r="D269" s="92" t="s">
        <v>243</v>
      </c>
      <c r="E269" s="92">
        <v>10.42</v>
      </c>
      <c r="F269" s="92">
        <v>12.7</v>
      </c>
      <c r="G269" s="92">
        <v>13.75</v>
      </c>
      <c r="H269" s="92">
        <v>14.02</v>
      </c>
      <c r="I269" s="92">
        <v>15.42</v>
      </c>
      <c r="J269" s="92">
        <v>16.41</v>
      </c>
      <c r="K269" s="86"/>
    </row>
    <row r="270" spans="2:11" ht="11.25">
      <c r="B270" s="85"/>
      <c r="C270" s="137" t="s">
        <v>244</v>
      </c>
      <c r="D270" s="92" t="s">
        <v>181</v>
      </c>
      <c r="E270" s="92">
        <v>163.9</v>
      </c>
      <c r="F270" s="92">
        <v>211.4</v>
      </c>
      <c r="G270" s="92">
        <v>276.5</v>
      </c>
      <c r="H270" s="92">
        <v>293.6</v>
      </c>
      <c r="I270" s="92" t="s">
        <v>182</v>
      </c>
      <c r="J270" s="92" t="s">
        <v>182</v>
      </c>
      <c r="K270" s="86"/>
    </row>
    <row r="271" spans="2:11" ht="11.25">
      <c r="B271" s="85"/>
      <c r="C271" s="138"/>
      <c r="D271" s="92" t="s">
        <v>183</v>
      </c>
      <c r="E271" s="92">
        <v>108836</v>
      </c>
      <c r="F271" s="92">
        <v>132532</v>
      </c>
      <c r="G271" s="92">
        <v>174962</v>
      </c>
      <c r="H271" s="92">
        <v>215590</v>
      </c>
      <c r="I271" s="92" t="s">
        <v>182</v>
      </c>
      <c r="J271" s="92" t="s">
        <v>182</v>
      </c>
      <c r="K271" s="86"/>
    </row>
    <row r="272" spans="2:11" ht="11.25">
      <c r="B272" s="85"/>
      <c r="C272" s="139"/>
      <c r="D272" s="92" t="s">
        <v>184</v>
      </c>
      <c r="E272" s="92">
        <v>6.32</v>
      </c>
      <c r="F272" s="92">
        <v>7.67</v>
      </c>
      <c r="G272" s="92">
        <v>8.83</v>
      </c>
      <c r="H272" s="92">
        <v>12.18</v>
      </c>
      <c r="I272" s="92" t="s">
        <v>182</v>
      </c>
      <c r="J272" s="92" t="s">
        <v>182</v>
      </c>
      <c r="K272" s="86"/>
    </row>
    <row r="273" spans="2:11" ht="11.25">
      <c r="B273" s="85"/>
      <c r="C273" s="137" t="s">
        <v>245</v>
      </c>
      <c r="D273" s="92" t="s">
        <v>181</v>
      </c>
      <c r="E273" s="92">
        <v>115.6</v>
      </c>
      <c r="F273" s="92">
        <v>180.1</v>
      </c>
      <c r="G273" s="92">
        <v>234.5</v>
      </c>
      <c r="H273" s="92">
        <v>258.4</v>
      </c>
      <c r="I273" s="92">
        <v>286.5</v>
      </c>
      <c r="J273" s="92" t="s">
        <v>182</v>
      </c>
      <c r="K273" s="86"/>
    </row>
    <row r="274" spans="2:11" ht="11.25">
      <c r="B274" s="85"/>
      <c r="C274" s="138"/>
      <c r="D274" s="92" t="s">
        <v>183</v>
      </c>
      <c r="E274" s="92">
        <v>43654</v>
      </c>
      <c r="F274" s="92">
        <v>79492</v>
      </c>
      <c r="G274" s="92">
        <v>94651</v>
      </c>
      <c r="H274" s="92">
        <v>109727</v>
      </c>
      <c r="I274" s="92">
        <v>121354</v>
      </c>
      <c r="J274" s="92" t="s">
        <v>182</v>
      </c>
      <c r="K274" s="86"/>
    </row>
    <row r="275" spans="2:11" ht="11.25">
      <c r="B275" s="85"/>
      <c r="C275" s="139"/>
      <c r="D275" s="92" t="s">
        <v>184</v>
      </c>
      <c r="E275" s="92">
        <v>4.62</v>
      </c>
      <c r="F275" s="92">
        <v>5.24</v>
      </c>
      <c r="G275" s="92">
        <v>5.64</v>
      </c>
      <c r="H275" s="92">
        <v>5.98</v>
      </c>
      <c r="I275" s="92">
        <v>6.45</v>
      </c>
      <c r="J275" s="92" t="s">
        <v>182</v>
      </c>
      <c r="K275" s="86"/>
    </row>
    <row r="276" spans="2:11" ht="11.25">
      <c r="B276" s="85"/>
      <c r="C276" s="137" t="s">
        <v>246</v>
      </c>
      <c r="D276" s="92" t="s">
        <v>181</v>
      </c>
      <c r="E276" s="92">
        <v>127.2</v>
      </c>
      <c r="F276" s="92">
        <v>217.3</v>
      </c>
      <c r="G276" s="92">
        <v>256.1</v>
      </c>
      <c r="H276" s="92">
        <v>264.3</v>
      </c>
      <c r="I276" s="92">
        <v>293.6</v>
      </c>
      <c r="J276" s="92" t="s">
        <v>182</v>
      </c>
      <c r="K276" s="86"/>
    </row>
    <row r="277" spans="2:11" ht="11.25">
      <c r="B277" s="85"/>
      <c r="C277" s="138"/>
      <c r="D277" s="92" t="s">
        <v>183</v>
      </c>
      <c r="E277" s="92">
        <v>45336</v>
      </c>
      <c r="F277" s="92">
        <v>67327</v>
      </c>
      <c r="G277" s="92">
        <v>97362</v>
      </c>
      <c r="H277" s="92">
        <v>113835</v>
      </c>
      <c r="I277" s="92">
        <v>125173</v>
      </c>
      <c r="J277" s="92" t="s">
        <v>182</v>
      </c>
      <c r="K277" s="86"/>
    </row>
    <row r="278" spans="2:11" ht="11.25">
      <c r="B278" s="85"/>
      <c r="C278" s="139"/>
      <c r="D278" s="92" t="s">
        <v>184</v>
      </c>
      <c r="E278" s="92">
        <v>4.79</v>
      </c>
      <c r="F278" s="92">
        <v>5.37</v>
      </c>
      <c r="G278" s="92">
        <v>5.85</v>
      </c>
      <c r="H278" s="92">
        <v>6.11</v>
      </c>
      <c r="I278" s="92">
        <v>6.68</v>
      </c>
      <c r="J278" s="92" t="s">
        <v>182</v>
      </c>
      <c r="K278" s="86"/>
    </row>
    <row r="279" spans="2:11" ht="11.25">
      <c r="B279" s="85"/>
      <c r="C279" s="137" t="s">
        <v>247</v>
      </c>
      <c r="D279" s="92" t="s">
        <v>181</v>
      </c>
      <c r="E279" s="92">
        <v>340.5</v>
      </c>
      <c r="F279" s="92">
        <v>483.3</v>
      </c>
      <c r="G279" s="92">
        <v>615.4</v>
      </c>
      <c r="H279" s="92" t="s">
        <v>182</v>
      </c>
      <c r="I279" s="92" t="s">
        <v>182</v>
      </c>
      <c r="J279" s="92" t="s">
        <v>182</v>
      </c>
      <c r="K279" s="86"/>
    </row>
    <row r="280" spans="2:11" ht="11.25">
      <c r="B280" s="85"/>
      <c r="C280" s="138"/>
      <c r="D280" s="92" t="s">
        <v>183</v>
      </c>
      <c r="E280" s="92">
        <v>163682</v>
      </c>
      <c r="F280" s="92">
        <v>417847</v>
      </c>
      <c r="G280" s="92">
        <v>523467</v>
      </c>
      <c r="H280" s="92" t="s">
        <v>182</v>
      </c>
      <c r="I280" s="92" t="s">
        <v>182</v>
      </c>
      <c r="J280" s="92" t="s">
        <v>182</v>
      </c>
      <c r="K280" s="86"/>
    </row>
    <row r="281" spans="2:11" ht="11.25">
      <c r="B281" s="85"/>
      <c r="C281" s="139"/>
      <c r="D281" s="92" t="s">
        <v>184</v>
      </c>
      <c r="E281" s="92">
        <v>7.5</v>
      </c>
      <c r="F281" s="92">
        <v>8.4</v>
      </c>
      <c r="G281" s="92">
        <v>9.3</v>
      </c>
      <c r="H281" s="92" t="s">
        <v>182</v>
      </c>
      <c r="I281" s="92" t="s">
        <v>182</v>
      </c>
      <c r="J281" s="92" t="s">
        <v>182</v>
      </c>
      <c r="K281" s="86"/>
    </row>
    <row r="282" spans="2:11" ht="11.25">
      <c r="B282" s="85"/>
      <c r="C282" s="137" t="s">
        <v>354</v>
      </c>
      <c r="D282" s="92" t="s">
        <v>181</v>
      </c>
      <c r="E282" s="92">
        <v>89.7</v>
      </c>
      <c r="F282" s="92">
        <v>142.6</v>
      </c>
      <c r="G282" s="92">
        <v>177.6</v>
      </c>
      <c r="H282" s="92">
        <v>181.2</v>
      </c>
      <c r="I282" s="92">
        <v>207.2</v>
      </c>
      <c r="J282" s="92" t="s">
        <v>182</v>
      </c>
      <c r="K282" s="86"/>
    </row>
    <row r="283" spans="2:11" ht="11.25">
      <c r="B283" s="85"/>
      <c r="C283" s="138"/>
      <c r="D283" s="92" t="s">
        <v>183</v>
      </c>
      <c r="E283" s="92">
        <v>304702</v>
      </c>
      <c r="F283" s="92">
        <v>569792</v>
      </c>
      <c r="G283" s="92">
        <v>694720</v>
      </c>
      <c r="H283" s="92">
        <v>749567</v>
      </c>
      <c r="I283" s="92">
        <v>883636</v>
      </c>
      <c r="J283" s="92" t="s">
        <v>182</v>
      </c>
      <c r="K283" s="86"/>
    </row>
    <row r="284" spans="2:11" ht="11.25">
      <c r="B284" s="85"/>
      <c r="C284" s="139"/>
      <c r="D284" s="92" t="s">
        <v>184</v>
      </c>
      <c r="E284" s="92">
        <v>7.02</v>
      </c>
      <c r="F284" s="92">
        <v>8.21</v>
      </c>
      <c r="G284" s="92">
        <v>9.13</v>
      </c>
      <c r="H284" s="92">
        <v>9.97</v>
      </c>
      <c r="I284" s="92">
        <v>10.9</v>
      </c>
      <c r="J284" s="92" t="s">
        <v>182</v>
      </c>
      <c r="K284" s="86"/>
    </row>
    <row r="285" spans="2:11" ht="11.25">
      <c r="B285" s="85"/>
      <c r="C285" s="137" t="s">
        <v>355</v>
      </c>
      <c r="D285" s="92" t="s">
        <v>181</v>
      </c>
      <c r="E285" s="92">
        <v>123.9</v>
      </c>
      <c r="F285" s="92">
        <v>197</v>
      </c>
      <c r="G285" s="92">
        <v>245.3</v>
      </c>
      <c r="H285" s="92">
        <v>250.3</v>
      </c>
      <c r="I285" s="92">
        <v>286.2</v>
      </c>
      <c r="J285" s="92" t="s">
        <v>182</v>
      </c>
      <c r="K285" s="86"/>
    </row>
    <row r="286" spans="2:11" ht="11.25">
      <c r="B286" s="85"/>
      <c r="C286" s="138" t="s">
        <v>248</v>
      </c>
      <c r="D286" s="92" t="s">
        <v>183</v>
      </c>
      <c r="E286" s="92">
        <v>660062</v>
      </c>
      <c r="F286" s="92">
        <v>1234316</v>
      </c>
      <c r="G286" s="92">
        <v>1504941</v>
      </c>
      <c r="H286" s="92">
        <v>1623753</v>
      </c>
      <c r="I286" s="92">
        <v>1914180</v>
      </c>
      <c r="J286" s="92" t="s">
        <v>182</v>
      </c>
      <c r="K286" s="86"/>
    </row>
    <row r="287" spans="2:11" ht="11.25">
      <c r="B287" s="85"/>
      <c r="C287" s="139"/>
      <c r="D287" s="92" t="s">
        <v>184</v>
      </c>
      <c r="E287" s="92">
        <v>7.02</v>
      </c>
      <c r="F287" s="92">
        <v>8.21</v>
      </c>
      <c r="G287" s="92">
        <v>9.13</v>
      </c>
      <c r="H287" s="92">
        <v>9.97</v>
      </c>
      <c r="I287" s="92">
        <v>10.39</v>
      </c>
      <c r="J287" s="92" t="s">
        <v>182</v>
      </c>
      <c r="K287" s="86"/>
    </row>
    <row r="288" spans="2:11" ht="11.25">
      <c r="B288" s="85"/>
      <c r="C288" s="137" t="s">
        <v>356</v>
      </c>
      <c r="D288" s="92" t="s">
        <v>181</v>
      </c>
      <c r="E288" s="92">
        <v>119.4</v>
      </c>
      <c r="F288" s="92">
        <v>189.8</v>
      </c>
      <c r="G288" s="92">
        <v>236.4</v>
      </c>
      <c r="H288" s="92">
        <v>241.2</v>
      </c>
      <c r="I288" s="92">
        <v>275.8</v>
      </c>
      <c r="J288" s="92" t="s">
        <v>182</v>
      </c>
      <c r="K288" s="86"/>
    </row>
    <row r="289" spans="2:11" ht="11.25">
      <c r="B289" s="85"/>
      <c r="C289" s="138" t="s">
        <v>248</v>
      </c>
      <c r="D289" s="92" t="s">
        <v>183</v>
      </c>
      <c r="E289" s="92">
        <v>533028</v>
      </c>
      <c r="F289" s="92">
        <v>996762</v>
      </c>
      <c r="G289" s="92">
        <v>1215304</v>
      </c>
      <c r="H289" s="92">
        <v>1311249</v>
      </c>
      <c r="I289" s="92">
        <v>1545781</v>
      </c>
      <c r="J289" s="92" t="s">
        <v>182</v>
      </c>
      <c r="K289" s="86"/>
    </row>
    <row r="290" spans="2:11" ht="11.25">
      <c r="B290" s="85"/>
      <c r="C290" s="139"/>
      <c r="D290" s="92" t="s">
        <v>184</v>
      </c>
      <c r="E290" s="92">
        <v>7.02</v>
      </c>
      <c r="F290" s="92">
        <v>8.21</v>
      </c>
      <c r="G290" s="92">
        <v>9.13</v>
      </c>
      <c r="H290" s="92">
        <v>9.97</v>
      </c>
      <c r="I290" s="92">
        <v>10.39</v>
      </c>
      <c r="J290" s="92" t="s">
        <v>182</v>
      </c>
      <c r="K290" s="86"/>
    </row>
    <row r="291" spans="2:11" ht="11.25">
      <c r="B291" s="85"/>
      <c r="C291" s="137" t="s">
        <v>357</v>
      </c>
      <c r="D291" s="92" t="s">
        <v>181</v>
      </c>
      <c r="E291" s="92">
        <v>113.5</v>
      </c>
      <c r="F291" s="92">
        <v>180.5</v>
      </c>
      <c r="G291" s="92">
        <v>224.7</v>
      </c>
      <c r="H291" s="92">
        <v>229.3</v>
      </c>
      <c r="I291" s="92">
        <v>262.2</v>
      </c>
      <c r="J291" s="92" t="s">
        <v>182</v>
      </c>
      <c r="K291" s="86"/>
    </row>
    <row r="292" spans="2:11" ht="11.25">
      <c r="B292" s="85"/>
      <c r="C292" s="138" t="s">
        <v>248</v>
      </c>
      <c r="D292" s="92" t="s">
        <v>183</v>
      </c>
      <c r="E292" s="92">
        <v>443178</v>
      </c>
      <c r="F292" s="92">
        <v>828743</v>
      </c>
      <c r="G292" s="92">
        <v>1010446</v>
      </c>
      <c r="H292" s="92">
        <v>1090218</v>
      </c>
      <c r="I292" s="92">
        <v>1285216</v>
      </c>
      <c r="J292" s="92" t="s">
        <v>182</v>
      </c>
      <c r="K292" s="86"/>
    </row>
    <row r="293" spans="2:11" ht="11.25">
      <c r="B293" s="85"/>
      <c r="C293" s="139"/>
      <c r="D293" s="92" t="s">
        <v>184</v>
      </c>
      <c r="E293" s="92">
        <v>7.02</v>
      </c>
      <c r="F293" s="92">
        <v>8.21</v>
      </c>
      <c r="G293" s="92">
        <v>9.13</v>
      </c>
      <c r="H293" s="92">
        <v>9.97</v>
      </c>
      <c r="I293" s="92">
        <v>10.39</v>
      </c>
      <c r="J293" s="92" t="s">
        <v>182</v>
      </c>
      <c r="K293" s="86"/>
    </row>
    <row r="294" spans="2:11" ht="11.25">
      <c r="B294" s="85"/>
      <c r="C294" s="137" t="s">
        <v>358</v>
      </c>
      <c r="D294" s="92" t="s">
        <v>181</v>
      </c>
      <c r="E294" s="92">
        <v>100.8</v>
      </c>
      <c r="F294" s="92">
        <v>160.3</v>
      </c>
      <c r="G294" s="92">
        <v>199.6</v>
      </c>
      <c r="H294" s="92">
        <v>203.6</v>
      </c>
      <c r="I294" s="92">
        <v>232.8</v>
      </c>
      <c r="J294" s="92" t="s">
        <v>182</v>
      </c>
      <c r="K294" s="86"/>
    </row>
    <row r="295" spans="2:11" ht="11.25">
      <c r="B295" s="85"/>
      <c r="C295" s="138"/>
      <c r="D295" s="92" t="s">
        <v>183</v>
      </c>
      <c r="E295" s="92">
        <v>406270</v>
      </c>
      <c r="F295" s="92">
        <v>759725</v>
      </c>
      <c r="G295" s="92">
        <v>926296</v>
      </c>
      <c r="H295" s="92">
        <v>999424</v>
      </c>
      <c r="I295" s="92">
        <v>1178183</v>
      </c>
      <c r="J295" s="92" t="s">
        <v>182</v>
      </c>
      <c r="K295" s="86"/>
    </row>
    <row r="296" spans="2:11" ht="11.25">
      <c r="B296" s="85"/>
      <c r="C296" s="139"/>
      <c r="D296" s="92" t="s">
        <v>184</v>
      </c>
      <c r="E296" s="92">
        <v>7.02</v>
      </c>
      <c r="F296" s="92">
        <v>8.21</v>
      </c>
      <c r="G296" s="92">
        <v>9.13</v>
      </c>
      <c r="H296" s="92">
        <v>9.97</v>
      </c>
      <c r="I296" s="92">
        <v>10.39</v>
      </c>
      <c r="J296" s="92" t="s">
        <v>182</v>
      </c>
      <c r="K296" s="86"/>
    </row>
    <row r="297" spans="2:11" ht="11.25">
      <c r="B297" s="85"/>
      <c r="C297" s="137" t="s">
        <v>359</v>
      </c>
      <c r="D297" s="92" t="s">
        <v>181</v>
      </c>
      <c r="E297" s="92">
        <v>126.2</v>
      </c>
      <c r="F297" s="92">
        <v>200.7</v>
      </c>
      <c r="G297" s="92">
        <v>249.9</v>
      </c>
      <c r="H297" s="92">
        <v>254.9</v>
      </c>
      <c r="I297" s="92">
        <v>291.5</v>
      </c>
      <c r="J297" s="92" t="s">
        <v>182</v>
      </c>
      <c r="K297" s="86"/>
    </row>
    <row r="298" spans="2:11" ht="11.25">
      <c r="B298" s="85"/>
      <c r="C298" s="138" t="s">
        <v>237</v>
      </c>
      <c r="D298" s="92" t="s">
        <v>183</v>
      </c>
      <c r="E298" s="92">
        <v>357382</v>
      </c>
      <c r="F298" s="92">
        <v>668304</v>
      </c>
      <c r="G298" s="92">
        <v>814831</v>
      </c>
      <c r="H298" s="92">
        <v>879160</v>
      </c>
      <c r="I298" s="92">
        <v>1036408</v>
      </c>
      <c r="J298" s="92" t="s">
        <v>182</v>
      </c>
      <c r="K298" s="86"/>
    </row>
    <row r="299" spans="2:11" ht="11.25">
      <c r="B299" s="85"/>
      <c r="C299" s="139"/>
      <c r="D299" s="92" t="s">
        <v>184</v>
      </c>
      <c r="E299" s="92">
        <v>6.93</v>
      </c>
      <c r="F299" s="92">
        <v>8.11</v>
      </c>
      <c r="G299" s="92">
        <v>9.01</v>
      </c>
      <c r="H299" s="92">
        <v>9.84</v>
      </c>
      <c r="I299" s="92">
        <v>10.25</v>
      </c>
      <c r="J299" s="92" t="s">
        <v>182</v>
      </c>
      <c r="K299" s="86"/>
    </row>
    <row r="300" spans="2:11" ht="11.25">
      <c r="B300" s="85"/>
      <c r="C300" s="137" t="s">
        <v>360</v>
      </c>
      <c r="D300" s="92" t="s">
        <v>181</v>
      </c>
      <c r="E300" s="92">
        <v>172.1</v>
      </c>
      <c r="F300" s="92">
        <v>179</v>
      </c>
      <c r="G300" s="92">
        <v>196.2</v>
      </c>
      <c r="H300" s="92">
        <v>235.8</v>
      </c>
      <c r="I300" s="92">
        <v>328.7</v>
      </c>
      <c r="J300" s="92">
        <v>387.2</v>
      </c>
      <c r="K300" s="86"/>
    </row>
    <row r="301" spans="2:11" ht="11.25">
      <c r="B301" s="85"/>
      <c r="C301" s="138" t="s">
        <v>249</v>
      </c>
      <c r="D301" s="92" t="s">
        <v>183</v>
      </c>
      <c r="E301" s="92">
        <v>132948</v>
      </c>
      <c r="F301" s="92">
        <v>143585</v>
      </c>
      <c r="G301" s="92">
        <v>163527</v>
      </c>
      <c r="H301" s="92">
        <v>192776</v>
      </c>
      <c r="I301" s="92">
        <v>220695</v>
      </c>
      <c r="J301" s="92">
        <v>265897</v>
      </c>
      <c r="K301" s="86"/>
    </row>
    <row r="302" spans="2:11" ht="11.25">
      <c r="B302" s="85"/>
      <c r="C302" s="139"/>
      <c r="D302" s="92" t="s">
        <v>184</v>
      </c>
      <c r="E302" s="92">
        <v>5.32</v>
      </c>
      <c r="F302" s="92">
        <v>5.59</v>
      </c>
      <c r="G302" s="92">
        <v>5.85</v>
      </c>
      <c r="H302" s="92">
        <v>6.28</v>
      </c>
      <c r="I302" s="92">
        <v>6.59</v>
      </c>
      <c r="J302" s="92">
        <v>6.91</v>
      </c>
      <c r="K302" s="86"/>
    </row>
    <row r="303" spans="2:11" ht="11.25">
      <c r="B303" s="85"/>
      <c r="C303" s="137" t="s">
        <v>250</v>
      </c>
      <c r="D303" s="92" t="s">
        <v>181</v>
      </c>
      <c r="E303" s="92">
        <v>114.2</v>
      </c>
      <c r="F303" s="92">
        <v>129</v>
      </c>
      <c r="G303" s="92">
        <v>145</v>
      </c>
      <c r="H303" s="92">
        <v>170.2</v>
      </c>
      <c r="I303" s="92">
        <v>228.4</v>
      </c>
      <c r="J303" s="92">
        <v>368.9</v>
      </c>
      <c r="K303" s="86"/>
    </row>
    <row r="304" spans="2:11" ht="11.25">
      <c r="B304" s="85"/>
      <c r="C304" s="138"/>
      <c r="D304" s="92" t="s">
        <v>183</v>
      </c>
      <c r="E304" s="92">
        <v>67770</v>
      </c>
      <c r="F304" s="92">
        <v>82002</v>
      </c>
      <c r="G304" s="92">
        <v>98267</v>
      </c>
      <c r="H304" s="92">
        <v>112498</v>
      </c>
      <c r="I304" s="92">
        <v>134862</v>
      </c>
      <c r="J304" s="92">
        <v>184334</v>
      </c>
      <c r="K304" s="86"/>
    </row>
    <row r="305" spans="2:11" ht="11.25">
      <c r="B305" s="85"/>
      <c r="C305" s="139"/>
      <c r="D305" s="92" t="s">
        <v>184</v>
      </c>
      <c r="E305" s="92">
        <v>4.92</v>
      </c>
      <c r="F305" s="92">
        <v>5.17</v>
      </c>
      <c r="G305" s="92">
        <v>5.42</v>
      </c>
      <c r="H305" s="92">
        <v>5.81</v>
      </c>
      <c r="I305" s="92">
        <v>6.01</v>
      </c>
      <c r="J305" s="92">
        <v>6.4</v>
      </c>
      <c r="K305" s="86"/>
    </row>
    <row r="306" spans="2:11" ht="11.25">
      <c r="B306" s="85"/>
      <c r="C306" s="137" t="s">
        <v>361</v>
      </c>
      <c r="D306" s="92" t="s">
        <v>181</v>
      </c>
      <c r="E306" s="92">
        <v>152.1</v>
      </c>
      <c r="F306" s="92">
        <v>164.2</v>
      </c>
      <c r="G306" s="92">
        <v>189.1</v>
      </c>
      <c r="H306" s="92">
        <v>239.8</v>
      </c>
      <c r="I306" s="92">
        <v>361.8</v>
      </c>
      <c r="J306" s="92">
        <v>407.2</v>
      </c>
      <c r="K306" s="86"/>
    </row>
    <row r="307" spans="2:11" ht="11.25">
      <c r="B307" s="85"/>
      <c r="C307" s="138" t="s">
        <v>240</v>
      </c>
      <c r="D307" s="92" t="s">
        <v>183</v>
      </c>
      <c r="E307" s="92">
        <v>115646</v>
      </c>
      <c r="F307" s="92">
        <v>123718</v>
      </c>
      <c r="G307" s="92">
        <v>133564</v>
      </c>
      <c r="H307" s="92">
        <v>167309</v>
      </c>
      <c r="I307" s="92">
        <v>208876</v>
      </c>
      <c r="J307" s="92">
        <v>264401</v>
      </c>
      <c r="K307" s="86"/>
    </row>
    <row r="308" spans="2:11" ht="11.25">
      <c r="B308" s="85"/>
      <c r="C308" s="139"/>
      <c r="D308" s="92" t="s">
        <v>184</v>
      </c>
      <c r="E308" s="92">
        <v>6.8</v>
      </c>
      <c r="F308" s="92">
        <v>7.2</v>
      </c>
      <c r="G308" s="92">
        <v>7.56</v>
      </c>
      <c r="H308" s="92">
        <v>8.1</v>
      </c>
      <c r="I308" s="92">
        <v>8.34</v>
      </c>
      <c r="J308" s="92">
        <v>8.89</v>
      </c>
      <c r="K308" s="86"/>
    </row>
    <row r="309" spans="2:11" ht="11.25">
      <c r="B309" s="85"/>
      <c r="C309" s="137" t="s">
        <v>362</v>
      </c>
      <c r="D309" s="92" t="s">
        <v>181</v>
      </c>
      <c r="E309" s="92">
        <v>122.6</v>
      </c>
      <c r="F309" s="92">
        <v>138.5</v>
      </c>
      <c r="G309" s="92">
        <v>155.7</v>
      </c>
      <c r="H309" s="92">
        <v>182.7</v>
      </c>
      <c r="I309" s="92">
        <v>245.2</v>
      </c>
      <c r="J309" s="92">
        <v>396</v>
      </c>
      <c r="K309" s="86"/>
    </row>
    <row r="310" spans="2:11" ht="11.25">
      <c r="B310" s="85"/>
      <c r="C310" s="138" t="s">
        <v>251</v>
      </c>
      <c r="D310" s="92" t="s">
        <v>183</v>
      </c>
      <c r="E310" s="92">
        <v>93476</v>
      </c>
      <c r="F310" s="92">
        <v>113106</v>
      </c>
      <c r="G310" s="92">
        <v>135540</v>
      </c>
      <c r="H310" s="92">
        <v>155170</v>
      </c>
      <c r="I310" s="92">
        <v>186017</v>
      </c>
      <c r="J310" s="92">
        <v>254255</v>
      </c>
      <c r="K310" s="86"/>
    </row>
    <row r="311" spans="2:11" ht="11.25">
      <c r="B311" s="85"/>
      <c r="C311" s="139" t="s">
        <v>236</v>
      </c>
      <c r="D311" s="92" t="s">
        <v>184</v>
      </c>
      <c r="E311" s="92">
        <v>4.92</v>
      </c>
      <c r="F311" s="92">
        <v>5.17</v>
      </c>
      <c r="G311" s="92">
        <v>5.42</v>
      </c>
      <c r="H311" s="92">
        <v>5.81</v>
      </c>
      <c r="I311" s="92">
        <v>6.01</v>
      </c>
      <c r="J311" s="92">
        <v>6.4</v>
      </c>
      <c r="K311" s="86"/>
    </row>
    <row r="312" spans="2:11" ht="11.25">
      <c r="B312" s="85"/>
      <c r="C312" s="137" t="s">
        <v>363</v>
      </c>
      <c r="D312" s="92" t="s">
        <v>181</v>
      </c>
      <c r="E312" s="92">
        <v>128.7</v>
      </c>
      <c r="F312" s="92">
        <v>145.4</v>
      </c>
      <c r="G312" s="92">
        <v>163.4</v>
      </c>
      <c r="H312" s="92">
        <v>191.8</v>
      </c>
      <c r="I312" s="92">
        <v>257.4</v>
      </c>
      <c r="J312" s="92">
        <v>415.7</v>
      </c>
      <c r="K312" s="86"/>
    </row>
    <row r="313" spans="2:11" ht="11.25">
      <c r="B313" s="85"/>
      <c r="C313" s="138"/>
      <c r="D313" s="92" t="s">
        <v>183</v>
      </c>
      <c r="E313" s="92">
        <v>95812</v>
      </c>
      <c r="F313" s="92">
        <v>115933</v>
      </c>
      <c r="G313" s="92">
        <v>138927</v>
      </c>
      <c r="H313" s="92">
        <v>159048</v>
      </c>
      <c r="I313" s="92">
        <v>190666</v>
      </c>
      <c r="J313" s="92">
        <v>260609</v>
      </c>
      <c r="K313" s="86"/>
    </row>
    <row r="314" spans="2:11" ht="11.25">
      <c r="B314" s="85"/>
      <c r="C314" s="139"/>
      <c r="D314" s="92" t="s">
        <v>184</v>
      </c>
      <c r="E314" s="92">
        <v>4.92</v>
      </c>
      <c r="F314" s="92">
        <v>5.17</v>
      </c>
      <c r="G314" s="92">
        <v>5.42</v>
      </c>
      <c r="H314" s="92">
        <v>5.81</v>
      </c>
      <c r="I314" s="92">
        <v>6.01</v>
      </c>
      <c r="J314" s="92">
        <v>6.4</v>
      </c>
      <c r="K314" s="86"/>
    </row>
    <row r="315" spans="2:11" ht="11.25">
      <c r="B315" s="85"/>
      <c r="C315" s="137" t="s">
        <v>364</v>
      </c>
      <c r="D315" s="92" t="s">
        <v>181</v>
      </c>
      <c r="E315" s="92">
        <v>133.1</v>
      </c>
      <c r="F315" s="92">
        <v>150.4</v>
      </c>
      <c r="G315" s="92">
        <v>169</v>
      </c>
      <c r="H315" s="92">
        <v>198.3</v>
      </c>
      <c r="I315" s="92">
        <v>266.2</v>
      </c>
      <c r="J315" s="92">
        <v>429.9</v>
      </c>
      <c r="K315" s="86"/>
    </row>
    <row r="316" spans="2:11" ht="11.25">
      <c r="B316" s="85"/>
      <c r="C316" s="138"/>
      <c r="D316" s="92" t="s">
        <v>183</v>
      </c>
      <c r="E316" s="92">
        <v>112372</v>
      </c>
      <c r="F316" s="92">
        <v>135970</v>
      </c>
      <c r="G316" s="92">
        <v>162939</v>
      </c>
      <c r="H316" s="92">
        <v>186538</v>
      </c>
      <c r="I316" s="92">
        <v>223620</v>
      </c>
      <c r="J316" s="92">
        <v>305652</v>
      </c>
      <c r="K316" s="86"/>
    </row>
    <row r="317" spans="2:11" ht="11.25">
      <c r="B317" s="85"/>
      <c r="C317" s="139"/>
      <c r="D317" s="92" t="s">
        <v>184</v>
      </c>
      <c r="E317" s="92">
        <v>4.92</v>
      </c>
      <c r="F317" s="92">
        <v>5.17</v>
      </c>
      <c r="G317" s="92">
        <v>5.42</v>
      </c>
      <c r="H317" s="92">
        <v>5.81</v>
      </c>
      <c r="I317" s="92">
        <v>6.01</v>
      </c>
      <c r="J317" s="92">
        <v>6.4</v>
      </c>
      <c r="K317" s="86"/>
    </row>
    <row r="318" spans="2:11" ht="11.25">
      <c r="B318" s="85"/>
      <c r="C318" s="137" t="s">
        <v>365</v>
      </c>
      <c r="D318" s="92" t="s">
        <v>181</v>
      </c>
      <c r="E318" s="92">
        <v>140.2</v>
      </c>
      <c r="F318" s="92">
        <v>145.8</v>
      </c>
      <c r="G318" s="92">
        <v>159.8</v>
      </c>
      <c r="H318" s="92">
        <v>192.1</v>
      </c>
      <c r="I318" s="92">
        <v>267.8</v>
      </c>
      <c r="J318" s="92">
        <v>315.5</v>
      </c>
      <c r="K318" s="86"/>
    </row>
    <row r="319" spans="2:11" ht="11.25">
      <c r="B319" s="85"/>
      <c r="C319" s="139"/>
      <c r="D319" s="92" t="s">
        <v>183</v>
      </c>
      <c r="E319" s="92">
        <v>11272</v>
      </c>
      <c r="F319" s="92">
        <v>121362</v>
      </c>
      <c r="G319" s="92">
        <v>138218</v>
      </c>
      <c r="H319" s="92">
        <v>162940</v>
      </c>
      <c r="I319" s="92">
        <v>18637</v>
      </c>
      <c r="J319" s="92">
        <v>224744</v>
      </c>
      <c r="K319" s="86"/>
    </row>
    <row r="320" spans="2:11" ht="11.25">
      <c r="B320" s="85"/>
      <c r="C320" s="137" t="s">
        <v>252</v>
      </c>
      <c r="D320" s="92" t="s">
        <v>181</v>
      </c>
      <c r="E320" s="92">
        <v>34.8</v>
      </c>
      <c r="F320" s="92">
        <v>54.6</v>
      </c>
      <c r="G320" s="92">
        <v>67.1</v>
      </c>
      <c r="H320" s="92">
        <v>71.3</v>
      </c>
      <c r="I320" s="92">
        <v>86.2</v>
      </c>
      <c r="J320" s="92"/>
      <c r="K320" s="86"/>
    </row>
    <row r="321" spans="2:11" ht="11.25">
      <c r="B321" s="85"/>
      <c r="C321" s="138"/>
      <c r="D321" s="92" t="s">
        <v>183</v>
      </c>
      <c r="E321" s="92">
        <v>45246</v>
      </c>
      <c r="F321" s="92">
        <v>85514</v>
      </c>
      <c r="G321" s="92">
        <v>112662</v>
      </c>
      <c r="H321" s="92">
        <v>117186</v>
      </c>
      <c r="I321" s="92">
        <v>152026</v>
      </c>
      <c r="J321" s="92"/>
      <c r="K321" s="86"/>
    </row>
    <row r="322" spans="2:11" ht="11.25">
      <c r="B322" s="85"/>
      <c r="C322" s="139"/>
      <c r="D322" s="92" t="s">
        <v>184</v>
      </c>
      <c r="E322" s="92">
        <v>4.28</v>
      </c>
      <c r="F322" s="92">
        <v>5.05</v>
      </c>
      <c r="G322" s="92">
        <v>5.65</v>
      </c>
      <c r="H322" s="92">
        <v>6.12</v>
      </c>
      <c r="I322" s="92">
        <v>7.15</v>
      </c>
      <c r="J322" s="92"/>
      <c r="K322" s="86"/>
    </row>
    <row r="323" spans="2:11" ht="11.25">
      <c r="B323" s="85"/>
      <c r="C323" s="137" t="s">
        <v>366</v>
      </c>
      <c r="D323" s="92" t="s">
        <v>181</v>
      </c>
      <c r="E323" s="92">
        <v>183.8</v>
      </c>
      <c r="F323" s="92">
        <v>188.9</v>
      </c>
      <c r="G323" s="92">
        <v>215.4</v>
      </c>
      <c r="H323" s="92">
        <v>247.9</v>
      </c>
      <c r="I323" s="92">
        <v>356.7</v>
      </c>
      <c r="J323" s="92">
        <v>412.8</v>
      </c>
      <c r="K323" s="86"/>
    </row>
    <row r="324" spans="2:11" ht="11.25">
      <c r="B324" s="85"/>
      <c r="C324" s="138"/>
      <c r="D324" s="92" t="s">
        <v>183</v>
      </c>
      <c r="E324" s="92">
        <v>122491</v>
      </c>
      <c r="F324" s="92">
        <v>134006</v>
      </c>
      <c r="G324" s="92">
        <v>157838</v>
      </c>
      <c r="H324" s="92">
        <v>179506</v>
      </c>
      <c r="I324" s="92">
        <v>220135</v>
      </c>
      <c r="J324" s="92">
        <v>267936</v>
      </c>
      <c r="K324" s="86"/>
    </row>
    <row r="325" spans="2:11" ht="11.25">
      <c r="B325" s="85"/>
      <c r="C325" s="139"/>
      <c r="D325" s="92" t="s">
        <v>184</v>
      </c>
      <c r="E325" s="92">
        <v>6.8</v>
      </c>
      <c r="F325" s="92">
        <v>7.2</v>
      </c>
      <c r="G325" s="92">
        <v>7.56</v>
      </c>
      <c r="H325" s="92">
        <v>8.1</v>
      </c>
      <c r="I325" s="92">
        <v>8.34</v>
      </c>
      <c r="J325" s="92">
        <v>8.89</v>
      </c>
      <c r="K325" s="86"/>
    </row>
    <row r="326" spans="2:11" ht="11.25">
      <c r="B326" s="85"/>
      <c r="C326" s="137" t="s">
        <v>367</v>
      </c>
      <c r="D326" s="92" t="s">
        <v>181</v>
      </c>
      <c r="E326" s="92">
        <v>120.2</v>
      </c>
      <c r="F326" s="92">
        <v>125</v>
      </c>
      <c r="G326" s="92">
        <v>137</v>
      </c>
      <c r="H326" s="92">
        <v>164.7</v>
      </c>
      <c r="I326" s="92">
        <v>229.6</v>
      </c>
      <c r="J326" s="92">
        <v>270.4</v>
      </c>
      <c r="K326" s="86"/>
    </row>
    <row r="327" spans="2:11" ht="11.25">
      <c r="B327" s="85"/>
      <c r="C327" s="138"/>
      <c r="D327" s="92" t="s">
        <v>183</v>
      </c>
      <c r="E327" s="92">
        <v>73443</v>
      </c>
      <c r="F327" s="92">
        <v>79318</v>
      </c>
      <c r="G327" s="92">
        <v>90334</v>
      </c>
      <c r="H327" s="92">
        <v>106491</v>
      </c>
      <c r="I327" s="92">
        <v>121914</v>
      </c>
      <c r="J327" s="92">
        <v>146884</v>
      </c>
      <c r="K327" s="86"/>
    </row>
    <row r="328" spans="2:11" ht="11.25">
      <c r="B328" s="85"/>
      <c r="C328" s="139"/>
      <c r="D328" s="92" t="s">
        <v>184</v>
      </c>
      <c r="E328" s="92">
        <v>5.3</v>
      </c>
      <c r="F328" s="92">
        <v>5.6</v>
      </c>
      <c r="G328" s="92">
        <v>5.8</v>
      </c>
      <c r="H328" s="92">
        <v>6.3</v>
      </c>
      <c r="I328" s="92">
        <v>6.5</v>
      </c>
      <c r="J328" s="92">
        <v>6.9</v>
      </c>
      <c r="K328" s="86"/>
    </row>
    <row r="329" spans="2:11" ht="11.25">
      <c r="B329" s="85"/>
      <c r="C329" s="137" t="s">
        <v>368</v>
      </c>
      <c r="D329" s="92" t="s">
        <v>181</v>
      </c>
      <c r="E329" s="92">
        <v>29.9</v>
      </c>
      <c r="F329" s="92">
        <v>47</v>
      </c>
      <c r="G329" s="92">
        <v>57.8</v>
      </c>
      <c r="H329" s="92">
        <v>61.4</v>
      </c>
      <c r="I329" s="92">
        <v>74.2</v>
      </c>
      <c r="J329" s="92"/>
      <c r="K329" s="86"/>
    </row>
    <row r="330" spans="2:11" ht="11.25">
      <c r="B330" s="85"/>
      <c r="C330" s="138"/>
      <c r="D330" s="92" t="s">
        <v>183</v>
      </c>
      <c r="E330" s="92">
        <v>35788</v>
      </c>
      <c r="F330" s="92">
        <v>67639</v>
      </c>
      <c r="G330" s="92">
        <v>89112</v>
      </c>
      <c r="H330" s="92">
        <v>92691</v>
      </c>
      <c r="I330" s="92">
        <v>120248</v>
      </c>
      <c r="J330" s="92" t="s">
        <v>182</v>
      </c>
      <c r="K330" s="86"/>
    </row>
    <row r="331" spans="2:11" ht="11.25">
      <c r="B331" s="85"/>
      <c r="C331" s="139"/>
      <c r="D331" s="92" t="s">
        <v>184</v>
      </c>
      <c r="E331" s="92">
        <v>4.28</v>
      </c>
      <c r="F331" s="92">
        <v>5.05</v>
      </c>
      <c r="G331" s="92">
        <v>5.65</v>
      </c>
      <c r="H331" s="92">
        <v>6.12</v>
      </c>
      <c r="I331" s="92">
        <v>7.15</v>
      </c>
      <c r="J331" s="92"/>
      <c r="K331" s="86"/>
    </row>
    <row r="332" spans="2:11" ht="11.25">
      <c r="B332" s="85"/>
      <c r="C332" s="137" t="s">
        <v>369</v>
      </c>
      <c r="D332" s="92" t="s">
        <v>181</v>
      </c>
      <c r="E332" s="92">
        <v>29.9</v>
      </c>
      <c r="F332" s="92">
        <v>47</v>
      </c>
      <c r="G332" s="92">
        <v>57.8</v>
      </c>
      <c r="H332" s="92">
        <v>61.4</v>
      </c>
      <c r="I332" s="92">
        <v>74.2</v>
      </c>
      <c r="J332" s="92"/>
      <c r="K332" s="86"/>
    </row>
    <row r="333" spans="2:11" ht="11.25">
      <c r="B333" s="85"/>
      <c r="C333" s="138"/>
      <c r="D333" s="92" t="s">
        <v>183</v>
      </c>
      <c r="E333" s="92">
        <v>40763</v>
      </c>
      <c r="F333" s="92">
        <v>77041</v>
      </c>
      <c r="G333" s="92">
        <v>101498</v>
      </c>
      <c r="H333" s="92">
        <v>105575</v>
      </c>
      <c r="I333" s="92">
        <v>136962</v>
      </c>
      <c r="J333" s="92"/>
      <c r="K333" s="86"/>
    </row>
    <row r="334" spans="2:11" ht="11.25">
      <c r="B334" s="85"/>
      <c r="C334" s="139"/>
      <c r="D334" s="92" t="s">
        <v>184</v>
      </c>
      <c r="E334" s="92">
        <v>4.28</v>
      </c>
      <c r="F334" s="92">
        <v>5.05</v>
      </c>
      <c r="G334" s="92">
        <v>5.65</v>
      </c>
      <c r="H334" s="92">
        <v>6.12</v>
      </c>
      <c r="I334" s="92">
        <v>7.15</v>
      </c>
      <c r="J334" s="92"/>
      <c r="K334" s="86"/>
    </row>
    <row r="335" spans="2:11" ht="11.25">
      <c r="B335" s="85"/>
      <c r="C335" s="137" t="s">
        <v>370</v>
      </c>
      <c r="D335" s="92" t="s">
        <v>181</v>
      </c>
      <c r="E335" s="92">
        <v>60.1</v>
      </c>
      <c r="F335" s="92">
        <v>94.4</v>
      </c>
      <c r="G335" s="92">
        <v>116</v>
      </c>
      <c r="H335" s="92">
        <v>123.2</v>
      </c>
      <c r="I335" s="92">
        <v>149</v>
      </c>
      <c r="J335" s="92" t="s">
        <v>182</v>
      </c>
      <c r="K335" s="86"/>
    </row>
    <row r="336" spans="2:11" ht="11.25">
      <c r="B336" s="85"/>
      <c r="C336" s="138"/>
      <c r="D336" s="92" t="s">
        <v>205</v>
      </c>
      <c r="E336" s="92">
        <v>42462</v>
      </c>
      <c r="F336" s="92">
        <v>51379</v>
      </c>
      <c r="G336" s="92">
        <v>61570</v>
      </c>
      <c r="H336" s="92">
        <v>70487</v>
      </c>
      <c r="I336" s="92">
        <v>84499</v>
      </c>
      <c r="J336" s="92" t="s">
        <v>182</v>
      </c>
      <c r="K336" s="86"/>
    </row>
    <row r="337" spans="2:11" ht="11.25">
      <c r="B337" s="85"/>
      <c r="C337" s="139" t="s">
        <v>253</v>
      </c>
      <c r="D337" s="92" t="s">
        <v>184</v>
      </c>
      <c r="E337" s="92">
        <v>5.7</v>
      </c>
      <c r="F337" s="92">
        <v>5.9</v>
      </c>
      <c r="G337" s="92">
        <v>6.2</v>
      </c>
      <c r="H337" s="92">
        <v>6.7</v>
      </c>
      <c r="I337" s="92">
        <v>6.9</v>
      </c>
      <c r="J337" s="92" t="s">
        <v>182</v>
      </c>
      <c r="K337" s="86"/>
    </row>
    <row r="338" spans="2:11" ht="11.25">
      <c r="B338" s="85"/>
      <c r="C338" s="137" t="s">
        <v>371</v>
      </c>
      <c r="D338" s="92" t="s">
        <v>181</v>
      </c>
      <c r="E338" s="92">
        <v>191.2</v>
      </c>
      <c r="F338" s="92">
        <v>197.8</v>
      </c>
      <c r="G338" s="92">
        <v>207.5</v>
      </c>
      <c r="H338" s="92">
        <v>253.7</v>
      </c>
      <c r="I338" s="92">
        <v>346.2</v>
      </c>
      <c r="J338" s="92">
        <v>398.8</v>
      </c>
      <c r="K338" s="86"/>
    </row>
    <row r="339" spans="2:11" ht="11.25">
      <c r="B339" s="85"/>
      <c r="C339" s="138"/>
      <c r="D339" s="92" t="s">
        <v>183</v>
      </c>
      <c r="E339" s="92">
        <v>129867</v>
      </c>
      <c r="F339" s="92">
        <v>132193</v>
      </c>
      <c r="G339" s="92">
        <v>168631</v>
      </c>
      <c r="H339" s="92">
        <v>193334</v>
      </c>
      <c r="I339" s="92">
        <v>213200</v>
      </c>
      <c r="J339" s="92">
        <v>247106</v>
      </c>
      <c r="K339" s="86"/>
    </row>
    <row r="340" spans="2:11" ht="11.25">
      <c r="B340" s="85"/>
      <c r="C340" s="139"/>
      <c r="D340" s="92" t="s">
        <v>184</v>
      </c>
      <c r="E340" s="92">
        <v>7.2</v>
      </c>
      <c r="F340" s="92">
        <v>7.3</v>
      </c>
      <c r="G340" s="92">
        <v>7.7</v>
      </c>
      <c r="H340" s="92">
        <v>8.15</v>
      </c>
      <c r="I340" s="92">
        <v>8.56</v>
      </c>
      <c r="J340" s="92">
        <v>9.1</v>
      </c>
      <c r="K340" s="86"/>
    </row>
    <row r="341" spans="2:11" ht="11.25">
      <c r="B341" s="85"/>
      <c r="C341" s="137" t="s">
        <v>372</v>
      </c>
      <c r="D341" s="92" t="s">
        <v>181</v>
      </c>
      <c r="E341" s="92">
        <v>191.2</v>
      </c>
      <c r="F341" s="92">
        <v>197.8</v>
      </c>
      <c r="G341" s="92">
        <v>209.7</v>
      </c>
      <c r="H341" s="92">
        <v>241.8</v>
      </c>
      <c r="I341" s="92">
        <v>305.7</v>
      </c>
      <c r="J341" s="92">
        <v>394.7</v>
      </c>
      <c r="K341" s="86"/>
    </row>
    <row r="342" spans="2:11" ht="11.25">
      <c r="B342" s="85"/>
      <c r="C342" s="138"/>
      <c r="D342" s="92" t="s">
        <v>183</v>
      </c>
      <c r="E342" s="92">
        <v>151634</v>
      </c>
      <c r="F342" s="92">
        <v>169507</v>
      </c>
      <c r="G342" s="92">
        <v>178143</v>
      </c>
      <c r="H342" s="92">
        <v>215525</v>
      </c>
      <c r="I342" s="92">
        <v>220054</v>
      </c>
      <c r="J342" s="92">
        <v>259010</v>
      </c>
      <c r="K342" s="86"/>
    </row>
    <row r="343" spans="2:11" ht="11.25">
      <c r="B343" s="85"/>
      <c r="C343" s="139"/>
      <c r="D343" s="92" t="s">
        <v>184</v>
      </c>
      <c r="E343" s="92">
        <v>6.8</v>
      </c>
      <c r="F343" s="92">
        <v>7.2</v>
      </c>
      <c r="G343" s="92">
        <v>7.56</v>
      </c>
      <c r="H343" s="92">
        <v>8.1</v>
      </c>
      <c r="I343" s="92">
        <v>8.34</v>
      </c>
      <c r="J343" s="92">
        <v>8.89</v>
      </c>
      <c r="K343" s="86"/>
    </row>
    <row r="344" spans="2:11" ht="11.25">
      <c r="B344" s="85"/>
      <c r="C344" s="137" t="s">
        <v>373</v>
      </c>
      <c r="D344" s="92" t="s">
        <v>181</v>
      </c>
      <c r="E344" s="92">
        <v>66.9</v>
      </c>
      <c r="F344" s="92">
        <v>123.1</v>
      </c>
      <c r="G344" s="92">
        <v>147.7</v>
      </c>
      <c r="H344" s="92">
        <v>167.2</v>
      </c>
      <c r="I344" s="92">
        <v>184.2</v>
      </c>
      <c r="J344" s="92" t="s">
        <v>182</v>
      </c>
      <c r="K344" s="86"/>
    </row>
    <row r="345" spans="2:11" ht="11.25">
      <c r="B345" s="85"/>
      <c r="C345" s="138"/>
      <c r="D345" s="92" t="s">
        <v>183</v>
      </c>
      <c r="E345" s="92">
        <v>40896</v>
      </c>
      <c r="F345" s="92">
        <v>58498</v>
      </c>
      <c r="G345" s="92">
        <v>97137</v>
      </c>
      <c r="H345" s="92">
        <v>102120</v>
      </c>
      <c r="I345" s="92">
        <v>152049</v>
      </c>
      <c r="J345" s="92" t="s">
        <v>182</v>
      </c>
      <c r="K345" s="86"/>
    </row>
    <row r="346" spans="2:11" ht="11.25">
      <c r="B346" s="85"/>
      <c r="C346" s="139"/>
      <c r="D346" s="92" t="s">
        <v>184</v>
      </c>
      <c r="E346" s="92">
        <v>4.83</v>
      </c>
      <c r="F346" s="92">
        <v>5.07</v>
      </c>
      <c r="G346" s="92">
        <v>5.31</v>
      </c>
      <c r="H346" s="92">
        <v>5.7</v>
      </c>
      <c r="I346" s="92">
        <v>5.89</v>
      </c>
      <c r="J346" s="92" t="s">
        <v>182</v>
      </c>
      <c r="K346" s="86"/>
    </row>
    <row r="347" spans="2:11" ht="11.25">
      <c r="B347" s="85"/>
      <c r="C347" s="137" t="s">
        <v>374</v>
      </c>
      <c r="D347" s="92" t="s">
        <v>181</v>
      </c>
      <c r="E347" s="92">
        <v>67.8</v>
      </c>
      <c r="F347" s="92">
        <v>76.6</v>
      </c>
      <c r="G347" s="92">
        <v>86.1</v>
      </c>
      <c r="H347" s="92">
        <v>101</v>
      </c>
      <c r="I347" s="92">
        <v>135.6</v>
      </c>
      <c r="J347" s="92">
        <v>219</v>
      </c>
      <c r="K347" s="86"/>
    </row>
    <row r="348" spans="2:11" ht="11.25">
      <c r="B348" s="85"/>
      <c r="C348" s="138"/>
      <c r="D348" s="92" t="s">
        <v>183</v>
      </c>
      <c r="E348" s="92">
        <v>42940</v>
      </c>
      <c r="F348" s="92">
        <v>51957</v>
      </c>
      <c r="G348" s="92">
        <v>62263</v>
      </c>
      <c r="H348" s="92">
        <v>71280</v>
      </c>
      <c r="I348" s="92">
        <v>85451</v>
      </c>
      <c r="J348" s="92">
        <v>116797</v>
      </c>
      <c r="K348" s="86"/>
    </row>
    <row r="349" spans="2:11" ht="11.25">
      <c r="B349" s="85"/>
      <c r="C349" s="139"/>
      <c r="D349" s="92" t="s">
        <v>184</v>
      </c>
      <c r="E349" s="92">
        <v>5.82</v>
      </c>
      <c r="F349" s="92">
        <v>6.11</v>
      </c>
      <c r="G349" s="92">
        <v>6.4</v>
      </c>
      <c r="H349" s="92">
        <v>6.87</v>
      </c>
      <c r="I349" s="92">
        <v>7.1</v>
      </c>
      <c r="J349" s="92">
        <v>7.56</v>
      </c>
      <c r="K349" s="86"/>
    </row>
    <row r="350" spans="2:11" ht="11.25">
      <c r="B350" s="85"/>
      <c r="C350" s="137" t="s">
        <v>375</v>
      </c>
      <c r="D350" s="92" t="s">
        <v>181</v>
      </c>
      <c r="E350" s="92">
        <v>64.6</v>
      </c>
      <c r="F350" s="92">
        <v>73</v>
      </c>
      <c r="G350" s="92">
        <v>82</v>
      </c>
      <c r="H350" s="92">
        <v>96.3</v>
      </c>
      <c r="I350" s="92">
        <v>129.2</v>
      </c>
      <c r="J350" s="92">
        <v>208.7</v>
      </c>
      <c r="K350" s="86"/>
    </row>
    <row r="351" spans="2:11" ht="11.25">
      <c r="B351" s="85"/>
      <c r="C351" s="138"/>
      <c r="D351" s="92" t="s">
        <v>183</v>
      </c>
      <c r="E351" s="92">
        <v>41714</v>
      </c>
      <c r="F351" s="92">
        <v>50474</v>
      </c>
      <c r="G351" s="92">
        <v>60485</v>
      </c>
      <c r="H351" s="92">
        <v>69245</v>
      </c>
      <c r="I351" s="92">
        <v>83011</v>
      </c>
      <c r="J351" s="92">
        <v>113462</v>
      </c>
      <c r="K351" s="86"/>
    </row>
    <row r="352" spans="2:11" ht="11.25">
      <c r="B352" s="85"/>
      <c r="C352" s="139"/>
      <c r="D352" s="92" t="s">
        <v>184</v>
      </c>
      <c r="E352" s="92">
        <v>5.82</v>
      </c>
      <c r="F352" s="92">
        <v>6.11</v>
      </c>
      <c r="G352" s="92">
        <v>6.4</v>
      </c>
      <c r="H352" s="92">
        <v>6.87</v>
      </c>
      <c r="I352" s="92">
        <v>7.1</v>
      </c>
      <c r="J352" s="92">
        <v>7.56</v>
      </c>
      <c r="K352" s="86"/>
    </row>
    <row r="353" spans="2:11" ht="11.25">
      <c r="B353" s="85"/>
      <c r="C353" s="137" t="s">
        <v>376</v>
      </c>
      <c r="D353" s="92" t="s">
        <v>181</v>
      </c>
      <c r="E353" s="92">
        <v>104.5</v>
      </c>
      <c r="F353" s="92">
        <v>118.1</v>
      </c>
      <c r="G353" s="92">
        <v>132.7</v>
      </c>
      <c r="H353" s="92">
        <v>155.7</v>
      </c>
      <c r="I353" s="92">
        <v>209</v>
      </c>
      <c r="J353" s="92" t="s">
        <v>182</v>
      </c>
      <c r="K353" s="86"/>
    </row>
    <row r="354" spans="2:11" ht="11.25">
      <c r="B354" s="85"/>
      <c r="C354" s="138"/>
      <c r="D354" s="92" t="s">
        <v>205</v>
      </c>
      <c r="E354" s="92">
        <v>40142</v>
      </c>
      <c r="F354" s="92">
        <v>48572</v>
      </c>
      <c r="G354" s="92">
        <v>58206</v>
      </c>
      <c r="H354" s="92">
        <v>66636</v>
      </c>
      <c r="I354" s="92">
        <v>79883</v>
      </c>
      <c r="J354" s="92" t="s">
        <v>182</v>
      </c>
      <c r="K354" s="86"/>
    </row>
    <row r="355" spans="2:11" ht="11.25">
      <c r="B355" s="85"/>
      <c r="C355" s="139"/>
      <c r="D355" s="92" t="s">
        <v>184</v>
      </c>
      <c r="E355" s="92">
        <v>7</v>
      </c>
      <c r="F355" s="92">
        <v>7.4</v>
      </c>
      <c r="G355" s="92">
        <v>7.8</v>
      </c>
      <c r="H355" s="92">
        <v>8.3</v>
      </c>
      <c r="I355" s="92">
        <v>8.6</v>
      </c>
      <c r="J355" s="92" t="s">
        <v>182</v>
      </c>
      <c r="K355" s="86"/>
    </row>
    <row r="356" spans="2:11" ht="12.75">
      <c r="B356" s="85"/>
      <c r="C356" s="134" t="s">
        <v>254</v>
      </c>
      <c r="D356" s="135"/>
      <c r="E356" s="135"/>
      <c r="F356" s="135"/>
      <c r="G356" s="135"/>
      <c r="H356" s="135"/>
      <c r="I356" s="135"/>
      <c r="J356" s="136"/>
      <c r="K356" s="86"/>
    </row>
    <row r="357" spans="2:11" ht="11.25">
      <c r="B357" s="85"/>
      <c r="C357" s="137" t="s">
        <v>377</v>
      </c>
      <c r="D357" s="92" t="s">
        <v>181</v>
      </c>
      <c r="E357" s="92">
        <v>74.2</v>
      </c>
      <c r="F357" s="92">
        <v>107.9</v>
      </c>
      <c r="G357" s="92">
        <v>134.8</v>
      </c>
      <c r="H357" s="92">
        <v>175.8</v>
      </c>
      <c r="I357" s="92" t="s">
        <v>182</v>
      </c>
      <c r="J357" s="92" t="s">
        <v>182</v>
      </c>
      <c r="K357" s="86"/>
    </row>
    <row r="358" spans="2:11" ht="11.25">
      <c r="B358" s="85"/>
      <c r="C358" s="138"/>
      <c r="D358" s="92" t="s">
        <v>183</v>
      </c>
      <c r="E358" s="92">
        <v>21488</v>
      </c>
      <c r="F358" s="92">
        <v>39857</v>
      </c>
      <c r="G358" s="92">
        <v>63615</v>
      </c>
      <c r="H358" s="92">
        <v>87889</v>
      </c>
      <c r="I358" s="92" t="s">
        <v>182</v>
      </c>
      <c r="J358" s="92" t="s">
        <v>182</v>
      </c>
      <c r="K358" s="86"/>
    </row>
    <row r="359" spans="2:11" ht="11.25">
      <c r="B359" s="85"/>
      <c r="C359" s="139"/>
      <c r="D359" s="92" t="s">
        <v>184</v>
      </c>
      <c r="E359" s="92">
        <v>4.61</v>
      </c>
      <c r="F359" s="92">
        <v>4.88</v>
      </c>
      <c r="G359" s="92">
        <v>5.19</v>
      </c>
      <c r="H359" s="92">
        <v>6.21</v>
      </c>
      <c r="I359" s="92" t="s">
        <v>182</v>
      </c>
      <c r="J359" s="92" t="s">
        <v>182</v>
      </c>
      <c r="K359" s="86"/>
    </row>
    <row r="360" spans="2:11" ht="11.25">
      <c r="B360" s="85"/>
      <c r="C360" s="137" t="s">
        <v>255</v>
      </c>
      <c r="D360" s="92" t="s">
        <v>181</v>
      </c>
      <c r="E360" s="92">
        <v>75</v>
      </c>
      <c r="F360" s="92">
        <v>136</v>
      </c>
      <c r="G360" s="92">
        <v>176.5</v>
      </c>
      <c r="H360" s="92">
        <v>176.5</v>
      </c>
      <c r="I360" s="92" t="s">
        <v>182</v>
      </c>
      <c r="J360" s="92" t="s">
        <v>182</v>
      </c>
      <c r="K360" s="86"/>
    </row>
    <row r="361" spans="2:11" ht="11.25">
      <c r="B361" s="85"/>
      <c r="C361" s="138"/>
      <c r="D361" s="92" t="s">
        <v>183</v>
      </c>
      <c r="E361" s="92">
        <v>26581</v>
      </c>
      <c r="F361" s="92">
        <v>47411</v>
      </c>
      <c r="G361" s="92">
        <v>59267</v>
      </c>
      <c r="H361" s="92">
        <v>59590</v>
      </c>
      <c r="I361" s="92" t="s">
        <v>182</v>
      </c>
      <c r="J361" s="92" t="s">
        <v>182</v>
      </c>
      <c r="K361" s="86"/>
    </row>
    <row r="362" spans="2:11" ht="11.25">
      <c r="B362" s="85"/>
      <c r="C362" s="139"/>
      <c r="D362" s="92" t="s">
        <v>184</v>
      </c>
      <c r="E362" s="92">
        <v>3.65</v>
      </c>
      <c r="F362" s="92">
        <v>3.97</v>
      </c>
      <c r="G362" s="92">
        <v>4.19</v>
      </c>
      <c r="H362" s="92">
        <v>4.38</v>
      </c>
      <c r="I362" s="92" t="s">
        <v>182</v>
      </c>
      <c r="J362" s="92" t="s">
        <v>182</v>
      </c>
      <c r="K362" s="86"/>
    </row>
    <row r="363" spans="2:11" ht="11.25">
      <c r="B363" s="85"/>
      <c r="C363" s="137" t="s">
        <v>256</v>
      </c>
      <c r="D363" s="92" t="s">
        <v>181</v>
      </c>
      <c r="E363" s="92">
        <v>56.2</v>
      </c>
      <c r="F363" s="92">
        <v>98.7</v>
      </c>
      <c r="G363" s="92">
        <v>145.2</v>
      </c>
      <c r="H363" s="92">
        <v>162.8</v>
      </c>
      <c r="I363" s="92" t="s">
        <v>182</v>
      </c>
      <c r="J363" s="92" t="s">
        <v>182</v>
      </c>
      <c r="K363" s="86"/>
    </row>
    <row r="364" spans="2:11" ht="11.25">
      <c r="B364" s="85"/>
      <c r="C364" s="138"/>
      <c r="D364" s="92" t="s">
        <v>183</v>
      </c>
      <c r="E364" s="92">
        <v>16387</v>
      </c>
      <c r="F364" s="92">
        <v>37062</v>
      </c>
      <c r="G364" s="92">
        <v>52245</v>
      </c>
      <c r="H364" s="92">
        <v>58068</v>
      </c>
      <c r="I364" s="92" t="s">
        <v>182</v>
      </c>
      <c r="J364" s="92" t="s">
        <v>182</v>
      </c>
      <c r="K364" s="86"/>
    </row>
    <row r="365" spans="2:11" ht="11.25">
      <c r="B365" s="85"/>
      <c r="C365" s="139"/>
      <c r="D365" s="92" t="s">
        <v>184</v>
      </c>
      <c r="E365" s="92">
        <v>3.06</v>
      </c>
      <c r="F365" s="92">
        <v>3.67</v>
      </c>
      <c r="G365" s="92">
        <v>3.96</v>
      </c>
      <c r="H365" s="92">
        <v>4.12</v>
      </c>
      <c r="I365" s="92" t="s">
        <v>182</v>
      </c>
      <c r="J365" s="92" t="s">
        <v>182</v>
      </c>
      <c r="K365" s="86"/>
    </row>
    <row r="366" spans="2:11" ht="11.25">
      <c r="B366" s="85"/>
      <c r="C366" s="137" t="s">
        <v>213</v>
      </c>
      <c r="D366" s="92" t="s">
        <v>181</v>
      </c>
      <c r="E366" s="92">
        <v>61.5</v>
      </c>
      <c r="F366" s="92">
        <v>108.4</v>
      </c>
      <c r="G366" s="92">
        <v>136.2</v>
      </c>
      <c r="H366" s="92">
        <v>169.7</v>
      </c>
      <c r="I366" s="92" t="s">
        <v>182</v>
      </c>
      <c r="J366" s="92" t="s">
        <v>182</v>
      </c>
      <c r="K366" s="86"/>
    </row>
    <row r="367" spans="2:11" ht="11.25">
      <c r="B367" s="85"/>
      <c r="C367" s="138"/>
      <c r="D367" s="92" t="s">
        <v>183</v>
      </c>
      <c r="E367" s="92">
        <v>33826</v>
      </c>
      <c r="F367" s="92">
        <v>59493</v>
      </c>
      <c r="G367" s="92">
        <v>85874</v>
      </c>
      <c r="H367" s="92">
        <v>88598</v>
      </c>
      <c r="I367" s="92" t="s">
        <v>182</v>
      </c>
      <c r="J367" s="92" t="s">
        <v>182</v>
      </c>
      <c r="K367" s="86"/>
    </row>
    <row r="368" spans="2:11" ht="11.25">
      <c r="B368" s="85"/>
      <c r="C368" s="139"/>
      <c r="D368" s="92" t="s">
        <v>184</v>
      </c>
      <c r="E368" s="92">
        <v>3.2</v>
      </c>
      <c r="F368" s="92">
        <v>3.69</v>
      </c>
      <c r="G368" s="92">
        <v>3.99</v>
      </c>
      <c r="H368" s="92">
        <v>4.18</v>
      </c>
      <c r="I368" s="92" t="s">
        <v>182</v>
      </c>
      <c r="J368" s="92" t="s">
        <v>182</v>
      </c>
      <c r="K368" s="86"/>
    </row>
    <row r="369" spans="2:11" ht="11.25">
      <c r="B369" s="85"/>
      <c r="C369" s="137" t="s">
        <v>214</v>
      </c>
      <c r="D369" s="92" t="s">
        <v>181</v>
      </c>
      <c r="E369" s="92">
        <v>62.4</v>
      </c>
      <c r="F369" s="92">
        <v>116.5</v>
      </c>
      <c r="G369" s="92">
        <v>146.8</v>
      </c>
      <c r="H369" s="92">
        <v>175.6</v>
      </c>
      <c r="I369" s="92" t="s">
        <v>182</v>
      </c>
      <c r="J369" s="92" t="s">
        <v>182</v>
      </c>
      <c r="K369" s="86"/>
    </row>
    <row r="370" spans="2:11" ht="11.25">
      <c r="B370" s="85"/>
      <c r="C370" s="138"/>
      <c r="D370" s="92" t="s">
        <v>183</v>
      </c>
      <c r="E370" s="92">
        <v>25020</v>
      </c>
      <c r="F370" s="92">
        <v>53548</v>
      </c>
      <c r="G370" s="92">
        <v>73573</v>
      </c>
      <c r="H370" s="92">
        <v>79416</v>
      </c>
      <c r="I370" s="92" t="s">
        <v>182</v>
      </c>
      <c r="J370" s="92" t="s">
        <v>182</v>
      </c>
      <c r="K370" s="86"/>
    </row>
    <row r="371" spans="2:11" ht="11.25">
      <c r="B371" s="85"/>
      <c r="C371" s="139"/>
      <c r="D371" s="92" t="s">
        <v>184</v>
      </c>
      <c r="E371" s="92">
        <v>3.33</v>
      </c>
      <c r="F371" s="92">
        <v>3.52</v>
      </c>
      <c r="G371" s="92">
        <v>4.11</v>
      </c>
      <c r="H371" s="92">
        <v>4.25</v>
      </c>
      <c r="I371" s="92" t="s">
        <v>182</v>
      </c>
      <c r="J371" s="92" t="s">
        <v>182</v>
      </c>
      <c r="K371" s="86"/>
    </row>
    <row r="372" spans="2:11" ht="11.25">
      <c r="B372" s="85"/>
      <c r="C372" s="137" t="s">
        <v>215</v>
      </c>
      <c r="D372" s="92" t="s">
        <v>181</v>
      </c>
      <c r="E372" s="92">
        <v>69.4</v>
      </c>
      <c r="F372" s="92">
        <v>122.5</v>
      </c>
      <c r="G372" s="92">
        <v>137.8</v>
      </c>
      <c r="H372" s="92">
        <v>172.4</v>
      </c>
      <c r="I372" s="92" t="s">
        <v>182</v>
      </c>
      <c r="J372" s="92" t="s">
        <v>182</v>
      </c>
      <c r="K372" s="86"/>
    </row>
    <row r="373" spans="2:11" ht="11.25">
      <c r="B373" s="85"/>
      <c r="C373" s="138"/>
      <c r="D373" s="92" t="s">
        <v>183</v>
      </c>
      <c r="E373" s="92">
        <v>25823</v>
      </c>
      <c r="F373" s="92">
        <v>57094</v>
      </c>
      <c r="G373" s="92">
        <v>77852</v>
      </c>
      <c r="H373" s="92">
        <v>84451</v>
      </c>
      <c r="I373" s="92" t="s">
        <v>182</v>
      </c>
      <c r="J373" s="92" t="s">
        <v>182</v>
      </c>
      <c r="K373" s="86"/>
    </row>
    <row r="374" spans="2:11" ht="11.25">
      <c r="B374" s="85"/>
      <c r="C374" s="139"/>
      <c r="D374" s="92" t="s">
        <v>184</v>
      </c>
      <c r="E374" s="92">
        <v>6.31</v>
      </c>
      <c r="F374" s="92">
        <v>7.26</v>
      </c>
      <c r="G374" s="92">
        <v>7.87</v>
      </c>
      <c r="H374" s="92">
        <v>8.24</v>
      </c>
      <c r="I374" s="92" t="s">
        <v>182</v>
      </c>
      <c r="J374" s="92" t="s">
        <v>182</v>
      </c>
      <c r="K374" s="86"/>
    </row>
    <row r="375" spans="2:11" ht="11.25">
      <c r="B375" s="85"/>
      <c r="C375" s="137" t="s">
        <v>257</v>
      </c>
      <c r="D375" s="92" t="s">
        <v>181</v>
      </c>
      <c r="E375" s="92">
        <v>64.8</v>
      </c>
      <c r="F375" s="92">
        <v>84.5</v>
      </c>
      <c r="G375" s="92">
        <v>105.5</v>
      </c>
      <c r="H375" s="92">
        <v>147.6</v>
      </c>
      <c r="I375" s="92" t="s">
        <v>182</v>
      </c>
      <c r="J375" s="92" t="s">
        <v>182</v>
      </c>
      <c r="K375" s="86"/>
    </row>
    <row r="376" spans="2:11" ht="11.25">
      <c r="B376" s="85"/>
      <c r="C376" s="138"/>
      <c r="D376" s="92" t="s">
        <v>183</v>
      </c>
      <c r="E376" s="92">
        <v>28839</v>
      </c>
      <c r="F376" s="92">
        <v>75344</v>
      </c>
      <c r="G376" s="92">
        <v>97086</v>
      </c>
      <c r="H376" s="92">
        <v>111006</v>
      </c>
      <c r="I376" s="92" t="s">
        <v>182</v>
      </c>
      <c r="J376" s="92" t="s">
        <v>182</v>
      </c>
      <c r="K376" s="86"/>
    </row>
    <row r="377" spans="2:11" ht="11.25">
      <c r="B377" s="85"/>
      <c r="C377" s="139"/>
      <c r="D377" s="92" t="s">
        <v>184</v>
      </c>
      <c r="E377" s="92">
        <v>3.66</v>
      </c>
      <c r="F377" s="92">
        <v>4.33</v>
      </c>
      <c r="G377" s="92">
        <v>5.09</v>
      </c>
      <c r="H377" s="92">
        <v>5.61</v>
      </c>
      <c r="I377" s="92" t="s">
        <v>182</v>
      </c>
      <c r="J377" s="92" t="s">
        <v>182</v>
      </c>
      <c r="K377" s="86"/>
    </row>
    <row r="378" spans="2:11" ht="11.25">
      <c r="B378" s="85"/>
      <c r="C378" s="137" t="s">
        <v>258</v>
      </c>
      <c r="D378" s="92" t="s">
        <v>181</v>
      </c>
      <c r="E378" s="92">
        <v>91.2</v>
      </c>
      <c r="F378" s="92">
        <v>153.7</v>
      </c>
      <c r="G378" s="92">
        <v>221.3</v>
      </c>
      <c r="H378" s="92">
        <v>221.3</v>
      </c>
      <c r="I378" s="92" t="s">
        <v>182</v>
      </c>
      <c r="J378" s="92" t="s">
        <v>182</v>
      </c>
      <c r="K378" s="86"/>
    </row>
    <row r="379" spans="2:11" ht="11.25">
      <c r="B379" s="85"/>
      <c r="C379" s="138"/>
      <c r="D379" s="92" t="s">
        <v>183</v>
      </c>
      <c r="E379" s="92">
        <v>29205</v>
      </c>
      <c r="F379" s="92">
        <v>70058</v>
      </c>
      <c r="G379" s="92">
        <v>97681</v>
      </c>
      <c r="H379" s="92">
        <v>97681</v>
      </c>
      <c r="I379" s="92" t="s">
        <v>182</v>
      </c>
      <c r="J379" s="92" t="s">
        <v>182</v>
      </c>
      <c r="K379" s="86"/>
    </row>
    <row r="380" spans="2:11" ht="11.25">
      <c r="B380" s="85"/>
      <c r="C380" s="139"/>
      <c r="D380" s="92" t="s">
        <v>184</v>
      </c>
      <c r="E380" s="92">
        <v>3.29</v>
      </c>
      <c r="F380" s="92">
        <v>3.73</v>
      </c>
      <c r="G380" s="92">
        <v>4.14</v>
      </c>
      <c r="H380" s="92">
        <v>4.3</v>
      </c>
      <c r="I380" s="92" t="s">
        <v>182</v>
      </c>
      <c r="J380" s="92" t="s">
        <v>182</v>
      </c>
      <c r="K380" s="86"/>
    </row>
    <row r="381" spans="2:11" ht="11.25">
      <c r="B381" s="85"/>
      <c r="C381" s="137" t="s">
        <v>259</v>
      </c>
      <c r="D381" s="92" t="s">
        <v>181</v>
      </c>
      <c r="E381" s="92">
        <v>91.9</v>
      </c>
      <c r="F381" s="92">
        <v>154.4</v>
      </c>
      <c r="G381" s="92">
        <v>222.8</v>
      </c>
      <c r="H381" s="92">
        <v>222.8</v>
      </c>
      <c r="I381" s="92" t="s">
        <v>182</v>
      </c>
      <c r="J381" s="92" t="s">
        <v>182</v>
      </c>
      <c r="K381" s="86"/>
    </row>
    <row r="382" spans="2:11" ht="11.25">
      <c r="B382" s="85"/>
      <c r="C382" s="138"/>
      <c r="D382" s="92" t="s">
        <v>183</v>
      </c>
      <c r="E382" s="92">
        <v>29756</v>
      </c>
      <c r="F382" s="92">
        <v>71216</v>
      </c>
      <c r="G382" s="92">
        <v>99386</v>
      </c>
      <c r="H382" s="92">
        <v>99386</v>
      </c>
      <c r="I382" s="92" t="s">
        <v>182</v>
      </c>
      <c r="J382" s="92" t="s">
        <v>182</v>
      </c>
      <c r="K382" s="86"/>
    </row>
    <row r="383" spans="2:11" ht="11.25">
      <c r="B383" s="85"/>
      <c r="C383" s="139"/>
      <c r="D383" s="92" t="s">
        <v>184</v>
      </c>
      <c r="E383" s="92">
        <v>3.42</v>
      </c>
      <c r="F383" s="92">
        <v>3.88</v>
      </c>
      <c r="G383" s="92">
        <v>4.3</v>
      </c>
      <c r="H383" s="92">
        <v>4.47</v>
      </c>
      <c r="I383" s="92" t="s">
        <v>182</v>
      </c>
      <c r="J383" s="92" t="s">
        <v>182</v>
      </c>
      <c r="K383" s="86"/>
    </row>
    <row r="384" spans="2:11" ht="11.25">
      <c r="B384" s="85"/>
      <c r="C384" s="137" t="s">
        <v>260</v>
      </c>
      <c r="D384" s="92" t="s">
        <v>181</v>
      </c>
      <c r="E384" s="92">
        <v>69.3</v>
      </c>
      <c r="F384" s="92">
        <v>87.6</v>
      </c>
      <c r="G384" s="92">
        <v>133.7</v>
      </c>
      <c r="H384" s="92">
        <v>189.4</v>
      </c>
      <c r="I384" s="92" t="s">
        <v>182</v>
      </c>
      <c r="J384" s="92" t="s">
        <v>182</v>
      </c>
      <c r="K384" s="86"/>
    </row>
    <row r="385" spans="2:11" ht="11.25">
      <c r="B385" s="85"/>
      <c r="C385" s="138"/>
      <c r="D385" s="92" t="s">
        <v>183</v>
      </c>
      <c r="E385" s="92">
        <v>30181</v>
      </c>
      <c r="F385" s="92">
        <v>59015</v>
      </c>
      <c r="G385" s="92">
        <v>83353</v>
      </c>
      <c r="H385" s="92">
        <v>98716</v>
      </c>
      <c r="I385" s="92" t="s">
        <v>182</v>
      </c>
      <c r="J385" s="92" t="s">
        <v>182</v>
      </c>
      <c r="K385" s="86"/>
    </row>
    <row r="386" spans="2:11" ht="11.25">
      <c r="B386" s="85"/>
      <c r="C386" s="139"/>
      <c r="D386" s="92" t="s">
        <v>184</v>
      </c>
      <c r="E386" s="92">
        <v>4.39</v>
      </c>
      <c r="F386" s="92">
        <v>4.77</v>
      </c>
      <c r="G386" s="92">
        <v>5.2</v>
      </c>
      <c r="H386" s="92">
        <v>5.38</v>
      </c>
      <c r="I386" s="92" t="s">
        <v>182</v>
      </c>
      <c r="J386" s="92" t="s">
        <v>182</v>
      </c>
      <c r="K386" s="86"/>
    </row>
    <row r="387" spans="2:11" ht="11.25">
      <c r="B387" s="85"/>
      <c r="C387" s="137" t="s">
        <v>261</v>
      </c>
      <c r="D387" s="92" t="s">
        <v>181</v>
      </c>
      <c r="E387" s="92">
        <v>67.5</v>
      </c>
      <c r="F387" s="92">
        <v>148.3</v>
      </c>
      <c r="G387" s="92">
        <v>185</v>
      </c>
      <c r="H387" s="92">
        <v>203.1</v>
      </c>
      <c r="I387" s="92" t="s">
        <v>182</v>
      </c>
      <c r="J387" s="92" t="s">
        <v>182</v>
      </c>
      <c r="K387" s="86"/>
    </row>
    <row r="388" spans="2:11" ht="11.25">
      <c r="B388" s="85"/>
      <c r="C388" s="138"/>
      <c r="D388" s="92" t="s">
        <v>183</v>
      </c>
      <c r="E388" s="92">
        <v>30488</v>
      </c>
      <c r="F388" s="92">
        <v>84799</v>
      </c>
      <c r="G388" s="92">
        <v>108100</v>
      </c>
      <c r="H388" s="92">
        <v>113238</v>
      </c>
      <c r="I388" s="92" t="s">
        <v>182</v>
      </c>
      <c r="J388" s="92" t="s">
        <v>182</v>
      </c>
      <c r="K388" s="86"/>
    </row>
    <row r="389" spans="2:11" ht="11.25">
      <c r="B389" s="85"/>
      <c r="C389" s="139"/>
      <c r="D389" s="92" t="s">
        <v>184</v>
      </c>
      <c r="E389" s="92">
        <v>4.52</v>
      </c>
      <c r="F389" s="92">
        <v>4.92</v>
      </c>
      <c r="G389" s="92">
        <v>5.37</v>
      </c>
      <c r="H389" s="92">
        <v>5.55</v>
      </c>
      <c r="I389" s="92" t="s">
        <v>182</v>
      </c>
      <c r="J389" s="92" t="s">
        <v>182</v>
      </c>
      <c r="K389" s="86"/>
    </row>
    <row r="390" spans="2:11" ht="11.25">
      <c r="B390" s="85"/>
      <c r="C390" s="137" t="s">
        <v>262</v>
      </c>
      <c r="D390" s="92" t="s">
        <v>181</v>
      </c>
      <c r="E390" s="92">
        <v>76.2</v>
      </c>
      <c r="F390" s="92">
        <v>118.1</v>
      </c>
      <c r="G390" s="92">
        <v>150.1</v>
      </c>
      <c r="H390" s="92">
        <v>181.4</v>
      </c>
      <c r="I390" s="92">
        <v>193.5</v>
      </c>
      <c r="J390" s="92"/>
      <c r="K390" s="86"/>
    </row>
    <row r="391" spans="2:11" ht="11.25">
      <c r="B391" s="85"/>
      <c r="C391" s="138"/>
      <c r="D391" s="92" t="s">
        <v>183</v>
      </c>
      <c r="E391" s="92">
        <v>31200</v>
      </c>
      <c r="F391" s="92">
        <v>51459</v>
      </c>
      <c r="G391" s="92">
        <v>65404</v>
      </c>
      <c r="H391" s="92">
        <v>79015</v>
      </c>
      <c r="I391" s="92">
        <v>84327</v>
      </c>
      <c r="J391" s="92"/>
      <c r="K391" s="86"/>
    </row>
    <row r="392" spans="2:11" ht="11.25">
      <c r="B392" s="85"/>
      <c r="C392" s="139"/>
      <c r="D392" s="92" t="s">
        <v>184</v>
      </c>
      <c r="E392" s="92">
        <v>6.15</v>
      </c>
      <c r="F392" s="92">
        <v>7.07</v>
      </c>
      <c r="G392" s="92">
        <v>7.93</v>
      </c>
      <c r="H392" s="92">
        <v>8.67</v>
      </c>
      <c r="I392" s="92">
        <v>9.66</v>
      </c>
      <c r="J392" s="92"/>
      <c r="K392" s="86"/>
    </row>
    <row r="393" spans="2:11" ht="11.25">
      <c r="B393" s="85"/>
      <c r="C393" s="137" t="s">
        <v>263</v>
      </c>
      <c r="D393" s="92" t="s">
        <v>181</v>
      </c>
      <c r="E393" s="92">
        <v>97.1</v>
      </c>
      <c r="F393" s="92">
        <v>142.1</v>
      </c>
      <c r="G393" s="92">
        <v>161.5</v>
      </c>
      <c r="H393" s="92">
        <v>181.4</v>
      </c>
      <c r="I393" s="92">
        <v>203.7</v>
      </c>
      <c r="J393" s="92">
        <v>221.3</v>
      </c>
      <c r="K393" s="86"/>
    </row>
    <row r="394" spans="2:11" ht="11.25">
      <c r="B394" s="85"/>
      <c r="C394" s="138"/>
      <c r="D394" s="92" t="s">
        <v>183</v>
      </c>
      <c r="E394" s="92">
        <v>41888</v>
      </c>
      <c r="F394" s="92">
        <v>78900</v>
      </c>
      <c r="G394" s="92">
        <v>89868</v>
      </c>
      <c r="H394" s="92">
        <v>97613</v>
      </c>
      <c r="I394" s="92">
        <v>98561</v>
      </c>
      <c r="J394" s="92">
        <v>113294</v>
      </c>
      <c r="K394" s="86"/>
    </row>
    <row r="395" spans="2:11" ht="11.25">
      <c r="B395" s="85"/>
      <c r="C395" s="139"/>
      <c r="D395" s="92" t="s">
        <v>184</v>
      </c>
      <c r="E395" s="92">
        <v>3.8</v>
      </c>
      <c r="F395" s="92">
        <v>4.21</v>
      </c>
      <c r="G395" s="92">
        <v>5.15</v>
      </c>
      <c r="H395" s="92">
        <v>5.83</v>
      </c>
      <c r="I395" s="92">
        <v>6.18</v>
      </c>
      <c r="J395" s="92">
        <v>6.31</v>
      </c>
      <c r="K395" s="86"/>
    </row>
    <row r="396" spans="2:11" ht="11.25">
      <c r="B396" s="85"/>
      <c r="C396" s="137" t="s">
        <v>264</v>
      </c>
      <c r="D396" s="92" t="s">
        <v>181</v>
      </c>
      <c r="E396" s="92">
        <v>97.8</v>
      </c>
      <c r="F396" s="92">
        <v>153.2</v>
      </c>
      <c r="G396" s="92">
        <v>162.7</v>
      </c>
      <c r="H396" s="92">
        <v>183.6</v>
      </c>
      <c r="I396" s="92">
        <v>205.9</v>
      </c>
      <c r="J396" s="92">
        <v>224.7</v>
      </c>
      <c r="K396" s="86"/>
    </row>
    <row r="397" spans="2:11" ht="11.25">
      <c r="B397" s="85"/>
      <c r="C397" s="138"/>
      <c r="D397" s="92" t="s">
        <v>183</v>
      </c>
      <c r="E397" s="92">
        <v>42682</v>
      </c>
      <c r="F397" s="92">
        <v>80972</v>
      </c>
      <c r="G397" s="92">
        <v>104976</v>
      </c>
      <c r="H397" s="92">
        <v>113287</v>
      </c>
      <c r="I397" s="92">
        <v>125357</v>
      </c>
      <c r="J397" s="92">
        <v>129420</v>
      </c>
      <c r="K397" s="86"/>
    </row>
    <row r="398" spans="2:11" ht="11.25">
      <c r="B398" s="85"/>
      <c r="C398" s="139"/>
      <c r="D398" s="92" t="s">
        <v>184</v>
      </c>
      <c r="E398" s="92">
        <v>3.95</v>
      </c>
      <c r="F398" s="92">
        <v>4.38</v>
      </c>
      <c r="G398" s="92">
        <v>5.35</v>
      </c>
      <c r="H398" s="92">
        <v>6.06</v>
      </c>
      <c r="I398" s="92">
        <v>6.27</v>
      </c>
      <c r="J398" s="92">
        <v>6.42</v>
      </c>
      <c r="K398" s="86"/>
    </row>
    <row r="399" spans="2:11" ht="11.25">
      <c r="B399" s="85"/>
      <c r="C399" s="137" t="s">
        <v>265</v>
      </c>
      <c r="D399" s="92" t="s">
        <v>181</v>
      </c>
      <c r="E399" s="92">
        <v>97.1</v>
      </c>
      <c r="F399" s="92">
        <v>172.1</v>
      </c>
      <c r="G399" s="92">
        <v>173.5</v>
      </c>
      <c r="H399" s="92">
        <v>192.7</v>
      </c>
      <c r="I399" s="92">
        <v>214.9</v>
      </c>
      <c r="J399" s="92">
        <v>232.8</v>
      </c>
      <c r="K399" s="86"/>
    </row>
    <row r="400" spans="2:11" ht="11.25">
      <c r="B400" s="85"/>
      <c r="C400" s="138"/>
      <c r="D400" s="92" t="s">
        <v>183</v>
      </c>
      <c r="E400" s="92">
        <v>41952</v>
      </c>
      <c r="F400" s="92">
        <v>78959</v>
      </c>
      <c r="G400" s="92">
        <v>111275</v>
      </c>
      <c r="H400" s="92">
        <v>120848</v>
      </c>
      <c r="I400" s="92">
        <v>129235</v>
      </c>
      <c r="J400" s="92">
        <v>133550</v>
      </c>
      <c r="K400" s="86"/>
    </row>
    <row r="401" spans="2:11" ht="11.25">
      <c r="B401" s="85"/>
      <c r="C401" s="139"/>
      <c r="D401" s="92" t="s">
        <v>184</v>
      </c>
      <c r="E401" s="92">
        <v>13.98</v>
      </c>
      <c r="F401" s="92">
        <v>15.49</v>
      </c>
      <c r="G401" s="92">
        <v>18.95</v>
      </c>
      <c r="H401" s="92">
        <v>20.13</v>
      </c>
      <c r="I401" s="92">
        <v>21.42</v>
      </c>
      <c r="J401" s="92">
        <v>22.72</v>
      </c>
      <c r="K401" s="86"/>
    </row>
    <row r="402" spans="2:11" ht="11.25">
      <c r="B402" s="85"/>
      <c r="C402" s="137" t="s">
        <v>378</v>
      </c>
      <c r="D402" s="92" t="s">
        <v>181</v>
      </c>
      <c r="E402" s="92">
        <v>119.1</v>
      </c>
      <c r="F402" s="92">
        <v>174.5</v>
      </c>
      <c r="G402" s="92">
        <v>189.2</v>
      </c>
      <c r="H402" s="92">
        <v>234.3</v>
      </c>
      <c r="I402" s="92">
        <v>262.5</v>
      </c>
      <c r="J402" s="92">
        <v>278.3</v>
      </c>
      <c r="K402" s="86"/>
    </row>
    <row r="403" spans="2:11" ht="11.25">
      <c r="B403" s="85"/>
      <c r="C403" s="138"/>
      <c r="D403" s="92" t="s">
        <v>183</v>
      </c>
      <c r="E403" s="92">
        <v>49572</v>
      </c>
      <c r="F403" s="92">
        <v>84204</v>
      </c>
      <c r="G403" s="92">
        <v>118113</v>
      </c>
      <c r="H403" s="92">
        <v>120970</v>
      </c>
      <c r="I403" s="92">
        <v>126711</v>
      </c>
      <c r="J403" s="92">
        <v>141554</v>
      </c>
      <c r="K403" s="86"/>
    </row>
    <row r="404" spans="2:11" ht="11.25">
      <c r="B404" s="85"/>
      <c r="C404" s="139"/>
      <c r="D404" s="92" t="s">
        <v>184</v>
      </c>
      <c r="E404" s="92">
        <v>3.81</v>
      </c>
      <c r="F404" s="92">
        <v>4.63</v>
      </c>
      <c r="G404" s="92">
        <v>5.23</v>
      </c>
      <c r="H404" s="92">
        <v>5.48</v>
      </c>
      <c r="I404" s="92">
        <v>5.96</v>
      </c>
      <c r="J404" s="92">
        <v>6.35</v>
      </c>
      <c r="K404" s="86"/>
    </row>
    <row r="405" spans="2:11" ht="11.25">
      <c r="B405" s="85"/>
      <c r="C405" s="137" t="s">
        <v>379</v>
      </c>
      <c r="D405" s="92" t="s">
        <v>181</v>
      </c>
      <c r="E405" s="92">
        <v>120.6</v>
      </c>
      <c r="F405" s="92">
        <v>181.6</v>
      </c>
      <c r="G405" s="92">
        <v>193.6</v>
      </c>
      <c r="H405" s="92">
        <v>237.9</v>
      </c>
      <c r="I405" s="92">
        <v>269.1</v>
      </c>
      <c r="J405" s="92">
        <v>283.6</v>
      </c>
      <c r="K405" s="86"/>
    </row>
    <row r="406" spans="2:11" ht="11.25">
      <c r="B406" s="85"/>
      <c r="C406" s="138"/>
      <c r="D406" s="92" t="s">
        <v>183</v>
      </c>
      <c r="E406" s="92">
        <v>50548</v>
      </c>
      <c r="F406" s="92">
        <v>85791</v>
      </c>
      <c r="G406" s="92">
        <v>119533</v>
      </c>
      <c r="H406" s="92">
        <v>124801</v>
      </c>
      <c r="I406" s="92">
        <v>130744</v>
      </c>
      <c r="J406" s="92">
        <v>144164</v>
      </c>
      <c r="K406" s="86"/>
    </row>
    <row r="407" spans="2:11" ht="11.25">
      <c r="B407" s="85"/>
      <c r="C407" s="139"/>
      <c r="D407" s="92" t="s">
        <v>184</v>
      </c>
      <c r="E407" s="92">
        <v>3.96</v>
      </c>
      <c r="F407" s="92">
        <v>4.81</v>
      </c>
      <c r="G407" s="92">
        <v>5.48</v>
      </c>
      <c r="H407" s="92">
        <v>6.03</v>
      </c>
      <c r="I407" s="92">
        <v>6.19</v>
      </c>
      <c r="J407" s="92">
        <v>6.42</v>
      </c>
      <c r="K407" s="86"/>
    </row>
    <row r="408" spans="2:11" ht="11.25">
      <c r="B408" s="85"/>
      <c r="C408" s="137" t="s">
        <v>266</v>
      </c>
      <c r="D408" s="92" t="s">
        <v>181</v>
      </c>
      <c r="E408" s="92">
        <v>127.2</v>
      </c>
      <c r="F408" s="92">
        <v>173.4</v>
      </c>
      <c r="G408" s="92">
        <v>196.2</v>
      </c>
      <c r="H408" s="92">
        <v>219.5</v>
      </c>
      <c r="I408" s="92">
        <v>246.1</v>
      </c>
      <c r="J408" s="92" t="s">
        <v>182</v>
      </c>
      <c r="K408" s="86"/>
    </row>
    <row r="409" spans="2:11" ht="11.25">
      <c r="B409" s="85"/>
      <c r="C409" s="138"/>
      <c r="D409" s="92" t="s">
        <v>183</v>
      </c>
      <c r="E409" s="92">
        <v>74143</v>
      </c>
      <c r="F409" s="92">
        <v>116032</v>
      </c>
      <c r="G409" s="92">
        <v>126878</v>
      </c>
      <c r="H409" s="92">
        <v>133065</v>
      </c>
      <c r="I409" s="92">
        <v>139022</v>
      </c>
      <c r="J409" s="92" t="s">
        <v>182</v>
      </c>
      <c r="K409" s="86"/>
    </row>
    <row r="410" spans="2:11" ht="11.25">
      <c r="B410" s="85"/>
      <c r="C410" s="139"/>
      <c r="D410" s="92" t="s">
        <v>184</v>
      </c>
      <c r="E410" s="92">
        <v>3.98</v>
      </c>
      <c r="F410" s="92">
        <v>4.87</v>
      </c>
      <c r="G410" s="92">
        <v>5.91</v>
      </c>
      <c r="H410" s="92">
        <v>6.37</v>
      </c>
      <c r="I410" s="92">
        <v>6.59</v>
      </c>
      <c r="J410" s="92" t="s">
        <v>182</v>
      </c>
      <c r="K410" s="86"/>
    </row>
    <row r="411" spans="2:11" ht="11.25">
      <c r="B411" s="85"/>
      <c r="C411" s="137" t="s">
        <v>267</v>
      </c>
      <c r="D411" s="92" t="s">
        <v>181</v>
      </c>
      <c r="E411" s="92">
        <v>128.7</v>
      </c>
      <c r="F411" s="92">
        <v>222.8</v>
      </c>
      <c r="G411" s="92">
        <v>307.4</v>
      </c>
      <c r="H411" s="92">
        <v>371.3</v>
      </c>
      <c r="I411" s="92">
        <v>371.3</v>
      </c>
      <c r="J411" s="92" t="s">
        <v>182</v>
      </c>
      <c r="K411" s="86"/>
    </row>
    <row r="412" spans="2:11" ht="11.25">
      <c r="B412" s="85"/>
      <c r="C412" s="138"/>
      <c r="D412" s="92" t="s">
        <v>183</v>
      </c>
      <c r="E412" s="92">
        <v>88227</v>
      </c>
      <c r="F412" s="92">
        <v>127557</v>
      </c>
      <c r="G412" s="92">
        <v>177066</v>
      </c>
      <c r="H412" s="92">
        <v>197860</v>
      </c>
      <c r="I412" s="92">
        <v>197860</v>
      </c>
      <c r="J412" s="92" t="s">
        <v>182</v>
      </c>
      <c r="K412" s="86"/>
    </row>
    <row r="413" spans="2:11" ht="11.25">
      <c r="B413" s="85"/>
      <c r="C413" s="139"/>
      <c r="D413" s="92" t="s">
        <v>184</v>
      </c>
      <c r="E413" s="92">
        <v>3.82</v>
      </c>
      <c r="F413" s="92">
        <v>4.67</v>
      </c>
      <c r="G413" s="92">
        <v>5.67</v>
      </c>
      <c r="H413" s="92">
        <v>6.1</v>
      </c>
      <c r="I413" s="92">
        <v>6.3</v>
      </c>
      <c r="J413" s="92" t="s">
        <v>182</v>
      </c>
      <c r="K413" s="86"/>
    </row>
    <row r="414" spans="2:11" ht="11.25">
      <c r="B414" s="85"/>
      <c r="C414" s="137" t="s">
        <v>268</v>
      </c>
      <c r="D414" s="92" t="s">
        <v>181</v>
      </c>
      <c r="E414" s="92">
        <v>130.9</v>
      </c>
      <c r="F414" s="92">
        <v>223.5</v>
      </c>
      <c r="G414" s="92">
        <v>308.1</v>
      </c>
      <c r="H414" s="92">
        <v>375.7</v>
      </c>
      <c r="I414" s="92">
        <v>375.7</v>
      </c>
      <c r="J414" s="92" t="s">
        <v>182</v>
      </c>
      <c r="K414" s="86"/>
    </row>
    <row r="415" spans="2:11" ht="11.25">
      <c r="B415" s="85"/>
      <c r="C415" s="138"/>
      <c r="D415" s="92" t="s">
        <v>183</v>
      </c>
      <c r="E415" s="92">
        <v>91825</v>
      </c>
      <c r="F415" s="92">
        <v>129750</v>
      </c>
      <c r="G415" s="92">
        <v>180055</v>
      </c>
      <c r="H415" s="92">
        <v>198103</v>
      </c>
      <c r="I415" s="92">
        <v>198103</v>
      </c>
      <c r="J415" s="92" t="s">
        <v>182</v>
      </c>
      <c r="K415" s="86"/>
    </row>
    <row r="416" spans="2:11" ht="11.25">
      <c r="B416" s="85"/>
      <c r="C416" s="139"/>
      <c r="D416" s="92" t="s">
        <v>184</v>
      </c>
      <c r="E416" s="92">
        <v>3.96</v>
      </c>
      <c r="F416" s="92">
        <v>4.85</v>
      </c>
      <c r="G416" s="92">
        <v>5.89</v>
      </c>
      <c r="H416" s="92">
        <v>6.34</v>
      </c>
      <c r="I416" s="92">
        <v>6.55</v>
      </c>
      <c r="J416" s="92" t="s">
        <v>182</v>
      </c>
      <c r="K416" s="86"/>
    </row>
    <row r="417" spans="2:11" ht="11.25">
      <c r="B417" s="85"/>
      <c r="C417" s="137" t="s">
        <v>269</v>
      </c>
      <c r="D417" s="92" t="s">
        <v>181</v>
      </c>
      <c r="E417" s="92">
        <v>118.9</v>
      </c>
      <c r="F417" s="92">
        <v>162.4</v>
      </c>
      <c r="G417" s="92">
        <v>187.5</v>
      </c>
      <c r="H417" s="92">
        <v>224.9</v>
      </c>
      <c r="I417" s="92">
        <v>269.7</v>
      </c>
      <c r="J417" s="92">
        <v>441.7</v>
      </c>
      <c r="K417" s="86"/>
    </row>
    <row r="418" spans="2:11" ht="11.25">
      <c r="B418" s="85"/>
      <c r="C418" s="138"/>
      <c r="D418" s="92" t="s">
        <v>183</v>
      </c>
      <c r="E418" s="92">
        <v>102984</v>
      </c>
      <c r="F418" s="92">
        <v>155175</v>
      </c>
      <c r="G418" s="92">
        <v>179501</v>
      </c>
      <c r="H418" s="92">
        <v>212003</v>
      </c>
      <c r="I418" s="92">
        <v>241937</v>
      </c>
      <c r="J418" s="92">
        <v>269858</v>
      </c>
      <c r="K418" s="86"/>
    </row>
    <row r="419" spans="2:11" ht="11.25">
      <c r="B419" s="85"/>
      <c r="C419" s="139"/>
      <c r="D419" s="92" t="s">
        <v>184</v>
      </c>
      <c r="E419" s="92">
        <v>3.99</v>
      </c>
      <c r="F419" s="92">
        <v>4.92</v>
      </c>
      <c r="G419" s="92">
        <v>5.07</v>
      </c>
      <c r="H419" s="92">
        <v>5.63</v>
      </c>
      <c r="I419" s="92">
        <v>5.92</v>
      </c>
      <c r="J419" s="92">
        <v>6.1</v>
      </c>
      <c r="K419" s="86"/>
    </row>
    <row r="420" spans="2:11" ht="11.25">
      <c r="B420" s="85"/>
      <c r="C420" s="137" t="s">
        <v>270</v>
      </c>
      <c r="D420" s="92" t="s">
        <v>181</v>
      </c>
      <c r="E420" s="92">
        <v>64.6</v>
      </c>
      <c r="F420" s="92">
        <v>97.3</v>
      </c>
      <c r="G420" s="92">
        <v>132.7</v>
      </c>
      <c r="H420" s="92">
        <v>182.4</v>
      </c>
      <c r="I420" s="92" t="s">
        <v>182</v>
      </c>
      <c r="J420" s="92" t="s">
        <v>182</v>
      </c>
      <c r="K420" s="86"/>
    </row>
    <row r="421" spans="2:11" ht="11.25">
      <c r="B421" s="85"/>
      <c r="C421" s="138"/>
      <c r="D421" s="92" t="s">
        <v>183</v>
      </c>
      <c r="E421" s="92">
        <v>22815</v>
      </c>
      <c r="F421" s="92">
        <v>51637</v>
      </c>
      <c r="G421" s="92">
        <v>80764</v>
      </c>
      <c r="H421" s="92">
        <v>107730</v>
      </c>
      <c r="I421" s="92" t="s">
        <v>182</v>
      </c>
      <c r="J421" s="92" t="s">
        <v>182</v>
      </c>
      <c r="K421" s="86"/>
    </row>
    <row r="422" spans="2:11" ht="11.25">
      <c r="B422" s="85"/>
      <c r="C422" s="139"/>
      <c r="D422" s="92" t="s">
        <v>184</v>
      </c>
      <c r="E422" s="92">
        <v>3.16</v>
      </c>
      <c r="F422" s="92">
        <v>3.84</v>
      </c>
      <c r="G422" s="92">
        <v>4.21</v>
      </c>
      <c r="H422" s="92">
        <v>4.55</v>
      </c>
      <c r="I422" s="92" t="s">
        <v>182</v>
      </c>
      <c r="J422" s="92" t="s">
        <v>182</v>
      </c>
      <c r="K422" s="86"/>
    </row>
    <row r="423" spans="2:11" ht="11.25">
      <c r="B423" s="85"/>
      <c r="C423" s="137" t="s">
        <v>380</v>
      </c>
      <c r="D423" s="92" t="s">
        <v>181</v>
      </c>
      <c r="E423" s="92">
        <v>98.2</v>
      </c>
      <c r="F423" s="92">
        <v>146.8</v>
      </c>
      <c r="G423" s="92">
        <v>183.7</v>
      </c>
      <c r="H423" s="92">
        <v>224.6</v>
      </c>
      <c r="I423" s="92">
        <v>274.2</v>
      </c>
      <c r="J423" s="92">
        <v>321.8</v>
      </c>
      <c r="K423" s="86"/>
    </row>
    <row r="424" spans="2:11" ht="11.25">
      <c r="B424" s="85"/>
      <c r="C424" s="138"/>
      <c r="D424" s="92" t="s">
        <v>183</v>
      </c>
      <c r="E424" s="92">
        <v>96142</v>
      </c>
      <c r="F424" s="92">
        <v>122403</v>
      </c>
      <c r="G424" s="92">
        <v>232439</v>
      </c>
      <c r="H424" s="92">
        <v>261863</v>
      </c>
      <c r="I424" s="92">
        <v>304208</v>
      </c>
      <c r="J424" s="92">
        <v>315023</v>
      </c>
      <c r="K424" s="86"/>
    </row>
    <row r="425" spans="2:11" ht="11.25">
      <c r="B425" s="85"/>
      <c r="C425" s="139"/>
      <c r="D425" s="92" t="s">
        <v>184</v>
      </c>
      <c r="E425" s="92">
        <v>4.37</v>
      </c>
      <c r="F425" s="92">
        <v>5.38</v>
      </c>
      <c r="G425" s="92">
        <v>6.44</v>
      </c>
      <c r="H425" s="92">
        <v>6.94</v>
      </c>
      <c r="I425" s="92">
        <v>7.12</v>
      </c>
      <c r="J425" s="92">
        <v>7.4</v>
      </c>
      <c r="K425" s="86"/>
    </row>
    <row r="426" spans="2:11" ht="11.25">
      <c r="B426" s="85"/>
      <c r="C426" s="137" t="s">
        <v>271</v>
      </c>
      <c r="D426" s="92" t="s">
        <v>181</v>
      </c>
      <c r="E426" s="92">
        <v>99.1</v>
      </c>
      <c r="F426" s="92">
        <v>161.9</v>
      </c>
      <c r="G426" s="92">
        <v>225.8</v>
      </c>
      <c r="H426" s="92">
        <v>294.5</v>
      </c>
      <c r="I426" s="92">
        <v>326.7</v>
      </c>
      <c r="J426" s="92">
        <v>377.5</v>
      </c>
      <c r="K426" s="86"/>
    </row>
    <row r="427" spans="2:11" ht="11.25">
      <c r="B427" s="85"/>
      <c r="C427" s="138"/>
      <c r="D427" s="92" t="s">
        <v>183</v>
      </c>
      <c r="E427" s="92">
        <v>99313</v>
      </c>
      <c r="F427" s="92">
        <v>151113</v>
      </c>
      <c r="G427" s="92">
        <v>195783</v>
      </c>
      <c r="H427" s="92">
        <v>237951</v>
      </c>
      <c r="I427" s="92">
        <v>265185</v>
      </c>
      <c r="J427" s="92">
        <v>293033</v>
      </c>
      <c r="K427" s="86"/>
    </row>
    <row r="428" spans="2:11" ht="11.25">
      <c r="B428" s="85"/>
      <c r="C428" s="139"/>
      <c r="D428" s="92" t="s">
        <v>184</v>
      </c>
      <c r="E428" s="92">
        <v>4.4</v>
      </c>
      <c r="F428" s="92">
        <v>5.46</v>
      </c>
      <c r="G428" s="92">
        <v>6.31</v>
      </c>
      <c r="H428" s="92">
        <v>6.81</v>
      </c>
      <c r="I428" s="92">
        <v>7.14</v>
      </c>
      <c r="J428" s="92">
        <v>7.2</v>
      </c>
      <c r="K428" s="86"/>
    </row>
    <row r="429" spans="2:11" ht="11.25">
      <c r="B429" s="85"/>
      <c r="C429" s="137" t="s">
        <v>272</v>
      </c>
      <c r="D429" s="92" t="s">
        <v>181</v>
      </c>
      <c r="E429" s="92">
        <v>82.6</v>
      </c>
      <c r="F429" s="92">
        <v>146.7</v>
      </c>
      <c r="G429" s="92">
        <v>182.6</v>
      </c>
      <c r="H429" s="92">
        <v>251.1</v>
      </c>
      <c r="I429" s="92">
        <v>274.5</v>
      </c>
      <c r="J429" s="92">
        <v>284.2</v>
      </c>
      <c r="K429" s="86"/>
    </row>
    <row r="430" spans="2:11" ht="11.25">
      <c r="B430" s="85"/>
      <c r="C430" s="138"/>
      <c r="D430" s="92" t="s">
        <v>183</v>
      </c>
      <c r="E430" s="92">
        <v>62086</v>
      </c>
      <c r="F430" s="92">
        <v>104590</v>
      </c>
      <c r="G430" s="92">
        <v>192627</v>
      </c>
      <c r="H430" s="92">
        <v>230976</v>
      </c>
      <c r="I430" s="92">
        <v>268503</v>
      </c>
      <c r="J430" s="92">
        <v>275353</v>
      </c>
      <c r="K430" s="86"/>
    </row>
    <row r="431" spans="2:11" ht="11.25">
      <c r="B431" s="85"/>
      <c r="C431" s="139"/>
      <c r="D431" s="92" t="s">
        <v>184</v>
      </c>
      <c r="E431" s="92">
        <v>5.26</v>
      </c>
      <c r="F431" s="92">
        <v>6.32</v>
      </c>
      <c r="G431" s="92">
        <v>7.22</v>
      </c>
      <c r="H431" s="92">
        <v>8.36</v>
      </c>
      <c r="I431" s="92">
        <v>8.6</v>
      </c>
      <c r="J431" s="92">
        <v>8.92</v>
      </c>
      <c r="K431" s="86"/>
    </row>
    <row r="432" spans="2:11" ht="11.25">
      <c r="B432" s="85"/>
      <c r="C432" s="137" t="s">
        <v>273</v>
      </c>
      <c r="D432" s="92" t="s">
        <v>181</v>
      </c>
      <c r="E432" s="92">
        <v>87.2</v>
      </c>
      <c r="F432" s="92">
        <v>146.5</v>
      </c>
      <c r="G432" s="92">
        <v>169.8</v>
      </c>
      <c r="H432" s="92">
        <v>208.1</v>
      </c>
      <c r="I432" s="92">
        <v>254.1</v>
      </c>
      <c r="J432" s="92" t="s">
        <v>182</v>
      </c>
      <c r="K432" s="86"/>
    </row>
    <row r="433" spans="2:11" ht="11.25">
      <c r="B433" s="85"/>
      <c r="C433" s="138"/>
      <c r="D433" s="92" t="s">
        <v>183</v>
      </c>
      <c r="E433" s="92">
        <v>70080</v>
      </c>
      <c r="F433" s="92">
        <v>183441</v>
      </c>
      <c r="G433" s="92">
        <v>199875</v>
      </c>
      <c r="H433" s="92">
        <v>204027</v>
      </c>
      <c r="I433" s="92">
        <v>256803</v>
      </c>
      <c r="J433" s="92" t="s">
        <v>182</v>
      </c>
      <c r="K433" s="86"/>
    </row>
    <row r="434" spans="2:11" ht="11.25">
      <c r="B434" s="85"/>
      <c r="C434" s="139"/>
      <c r="D434" s="92" t="s">
        <v>184</v>
      </c>
      <c r="E434" s="92">
        <v>5.03</v>
      </c>
      <c r="F434" s="92">
        <v>5.92</v>
      </c>
      <c r="G434" s="92">
        <v>6.14</v>
      </c>
      <c r="H434" s="92">
        <v>7.21</v>
      </c>
      <c r="I434" s="92">
        <v>8.03</v>
      </c>
      <c r="J434" s="92" t="s">
        <v>182</v>
      </c>
      <c r="K434" s="86"/>
    </row>
    <row r="435" spans="2:11" ht="11.25">
      <c r="B435" s="85"/>
      <c r="C435" s="137" t="s">
        <v>274</v>
      </c>
      <c r="D435" s="92" t="s">
        <v>181</v>
      </c>
      <c r="E435" s="92">
        <v>98.5</v>
      </c>
      <c r="F435" s="92">
        <v>112.4</v>
      </c>
      <c r="G435" s="92">
        <v>163.4</v>
      </c>
      <c r="H435" s="92">
        <v>216.7</v>
      </c>
      <c r="I435" s="92">
        <v>265.4</v>
      </c>
      <c r="J435" s="92" t="s">
        <v>182</v>
      </c>
      <c r="K435" s="86"/>
    </row>
    <row r="436" spans="2:11" ht="11.25">
      <c r="B436" s="85"/>
      <c r="C436" s="138"/>
      <c r="D436" s="92" t="s">
        <v>183</v>
      </c>
      <c r="E436" s="92">
        <v>51935</v>
      </c>
      <c r="F436" s="92">
        <v>111046</v>
      </c>
      <c r="G436" s="92">
        <v>219027</v>
      </c>
      <c r="H436" s="92">
        <v>270667</v>
      </c>
      <c r="I436" s="92">
        <v>320454</v>
      </c>
      <c r="J436" s="92" t="s">
        <v>182</v>
      </c>
      <c r="K436" s="86"/>
    </row>
    <row r="437" spans="2:11" ht="11.25">
      <c r="B437" s="85"/>
      <c r="C437" s="139"/>
      <c r="D437" s="92" t="s">
        <v>184</v>
      </c>
      <c r="E437" s="92">
        <v>5.07</v>
      </c>
      <c r="F437" s="92">
        <v>6.01</v>
      </c>
      <c r="G437" s="92">
        <v>6.32</v>
      </c>
      <c r="H437" s="92">
        <v>7.43</v>
      </c>
      <c r="I437" s="92">
        <v>8.14</v>
      </c>
      <c r="J437" s="92" t="s">
        <v>182</v>
      </c>
      <c r="K437" s="86"/>
    </row>
    <row r="438" spans="2:11" ht="11.25">
      <c r="B438" s="85"/>
      <c r="C438" s="137" t="s">
        <v>275</v>
      </c>
      <c r="D438" s="92" t="s">
        <v>181</v>
      </c>
      <c r="E438" s="92">
        <v>97.8</v>
      </c>
      <c r="F438" s="92">
        <v>110.6</v>
      </c>
      <c r="G438" s="92">
        <v>166.9</v>
      </c>
      <c r="H438" s="92">
        <v>219.7</v>
      </c>
      <c r="I438" s="92">
        <v>234.3</v>
      </c>
      <c r="J438" s="92" t="s">
        <v>182</v>
      </c>
      <c r="K438" s="86"/>
    </row>
    <row r="439" spans="2:11" ht="11.25">
      <c r="B439" s="85"/>
      <c r="C439" s="138"/>
      <c r="D439" s="92" t="s">
        <v>183</v>
      </c>
      <c r="E439" s="92">
        <v>56547</v>
      </c>
      <c r="F439" s="92">
        <v>98268</v>
      </c>
      <c r="G439" s="92">
        <v>179267</v>
      </c>
      <c r="H439" s="92">
        <v>277059</v>
      </c>
      <c r="I439" s="92">
        <v>365376</v>
      </c>
      <c r="J439" s="92" t="s">
        <v>182</v>
      </c>
      <c r="K439" s="86"/>
    </row>
    <row r="440" spans="2:11" ht="11.25">
      <c r="B440" s="85"/>
      <c r="C440" s="139"/>
      <c r="D440" s="92" t="s">
        <v>184</v>
      </c>
      <c r="E440" s="92">
        <v>5.07</v>
      </c>
      <c r="F440" s="92">
        <v>6.01</v>
      </c>
      <c r="G440" s="92">
        <v>6.32</v>
      </c>
      <c r="H440" s="92">
        <v>7.43</v>
      </c>
      <c r="I440" s="92">
        <v>8.14</v>
      </c>
      <c r="J440" s="92" t="s">
        <v>182</v>
      </c>
      <c r="K440" s="86"/>
    </row>
    <row r="441" spans="2:11" ht="11.25">
      <c r="B441" s="85"/>
      <c r="C441" s="137" t="s">
        <v>276</v>
      </c>
      <c r="D441" s="92" t="s">
        <v>181</v>
      </c>
      <c r="E441" s="92">
        <v>114.6</v>
      </c>
      <c r="F441" s="92">
        <v>167.2</v>
      </c>
      <c r="G441" s="92">
        <v>196.8</v>
      </c>
      <c r="H441" s="92">
        <v>224.3</v>
      </c>
      <c r="I441" s="92">
        <v>286.4</v>
      </c>
      <c r="J441" s="92" t="s">
        <v>182</v>
      </c>
      <c r="K441" s="86"/>
    </row>
    <row r="442" spans="2:11" ht="11.25">
      <c r="B442" s="85"/>
      <c r="C442" s="138"/>
      <c r="D442" s="92" t="s">
        <v>183</v>
      </c>
      <c r="E442" s="92">
        <v>73074</v>
      </c>
      <c r="F442" s="92">
        <v>115057</v>
      </c>
      <c r="G442" s="92">
        <v>193251</v>
      </c>
      <c r="H442" s="92">
        <v>296255</v>
      </c>
      <c r="I442" s="92">
        <v>377060</v>
      </c>
      <c r="J442" s="92" t="s">
        <v>182</v>
      </c>
      <c r="K442" s="86"/>
    </row>
    <row r="443" spans="2:11" ht="11.25">
      <c r="B443" s="85"/>
      <c r="C443" s="139"/>
      <c r="D443" s="92" t="s">
        <v>184</v>
      </c>
      <c r="E443" s="92">
        <v>5.16</v>
      </c>
      <c r="F443" s="92">
        <v>6.08</v>
      </c>
      <c r="G443" s="92">
        <v>6.43</v>
      </c>
      <c r="H443" s="92">
        <v>7.86</v>
      </c>
      <c r="I443" s="92">
        <v>8.32</v>
      </c>
      <c r="J443" s="92" t="s">
        <v>182</v>
      </c>
      <c r="K443" s="86"/>
    </row>
    <row r="444" spans="2:11" ht="11.25">
      <c r="B444" s="85"/>
      <c r="C444" s="137" t="s">
        <v>277</v>
      </c>
      <c r="D444" s="92" t="s">
        <v>181</v>
      </c>
      <c r="E444" s="92">
        <v>91.2</v>
      </c>
      <c r="F444" s="92">
        <v>168.3</v>
      </c>
      <c r="G444" s="92">
        <v>199.5</v>
      </c>
      <c r="H444" s="92">
        <v>248.2</v>
      </c>
      <c r="I444" s="92">
        <v>297.6</v>
      </c>
      <c r="J444" s="92" t="s">
        <v>182</v>
      </c>
      <c r="K444" s="86"/>
    </row>
    <row r="445" spans="2:11" ht="11.25">
      <c r="B445" s="85"/>
      <c r="C445" s="138"/>
      <c r="D445" s="92" t="s">
        <v>183</v>
      </c>
      <c r="E445" s="92">
        <v>72201</v>
      </c>
      <c r="F445" s="92">
        <v>124003</v>
      </c>
      <c r="G445" s="92">
        <v>202677</v>
      </c>
      <c r="H445" s="92">
        <v>283661</v>
      </c>
      <c r="I445" s="92">
        <v>337179</v>
      </c>
      <c r="J445" s="92" t="s">
        <v>182</v>
      </c>
      <c r="K445" s="86"/>
    </row>
    <row r="446" spans="2:11" ht="11.25">
      <c r="B446" s="85"/>
      <c r="C446" s="139"/>
      <c r="D446" s="92" t="s">
        <v>184</v>
      </c>
      <c r="E446" s="92">
        <v>5.16</v>
      </c>
      <c r="F446" s="92">
        <v>6.08</v>
      </c>
      <c r="G446" s="92">
        <v>6.43</v>
      </c>
      <c r="H446" s="92">
        <v>7.86</v>
      </c>
      <c r="I446" s="92">
        <v>8.32</v>
      </c>
      <c r="J446" s="92" t="s">
        <v>182</v>
      </c>
      <c r="K446" s="86"/>
    </row>
    <row r="447" spans="2:11" ht="11.25">
      <c r="B447" s="85"/>
      <c r="C447" s="137" t="s">
        <v>278</v>
      </c>
      <c r="D447" s="92" t="s">
        <v>181</v>
      </c>
      <c r="E447" s="92">
        <v>148.1</v>
      </c>
      <c r="F447" s="92">
        <v>231.7</v>
      </c>
      <c r="G447" s="92">
        <v>336.5</v>
      </c>
      <c r="H447" s="92">
        <v>442.6</v>
      </c>
      <c r="I447" s="92">
        <v>468.9</v>
      </c>
      <c r="J447" s="92">
        <v>514.6</v>
      </c>
      <c r="K447" s="86"/>
    </row>
    <row r="448" spans="2:11" ht="11.25">
      <c r="B448" s="85"/>
      <c r="C448" s="138"/>
      <c r="D448" s="92" t="s">
        <v>183</v>
      </c>
      <c r="E448" s="92">
        <v>54816</v>
      </c>
      <c r="F448" s="92">
        <v>98279</v>
      </c>
      <c r="G448" s="92">
        <v>175245</v>
      </c>
      <c r="H448" s="92">
        <v>265998</v>
      </c>
      <c r="I448" s="92">
        <v>338474</v>
      </c>
      <c r="J448" s="92">
        <v>359187</v>
      </c>
      <c r="K448" s="86"/>
    </row>
    <row r="449" spans="2:11" ht="11.25">
      <c r="B449" s="85"/>
      <c r="C449" s="139"/>
      <c r="D449" s="92" t="s">
        <v>184</v>
      </c>
      <c r="E449" s="92">
        <v>5.39</v>
      </c>
      <c r="F449" s="92">
        <v>5.75</v>
      </c>
      <c r="G449" s="92">
        <v>6.32</v>
      </c>
      <c r="H449" s="92">
        <v>6.87</v>
      </c>
      <c r="I449" s="92">
        <v>7.32</v>
      </c>
      <c r="J449" s="92">
        <v>8.01</v>
      </c>
      <c r="K449" s="86"/>
    </row>
    <row r="450" spans="2:11" ht="11.25">
      <c r="B450" s="85"/>
      <c r="C450" s="137" t="s">
        <v>279</v>
      </c>
      <c r="D450" s="92" t="s">
        <v>181</v>
      </c>
      <c r="E450" s="92">
        <v>106.5</v>
      </c>
      <c r="F450" s="92">
        <v>165.1</v>
      </c>
      <c r="G450" s="92">
        <v>209.8</v>
      </c>
      <c r="H450" s="92">
        <v>253.5</v>
      </c>
      <c r="I450" s="92">
        <v>270.5</v>
      </c>
      <c r="J450" s="92"/>
      <c r="K450" s="86"/>
    </row>
    <row r="451" spans="2:11" ht="11.25">
      <c r="B451" s="85"/>
      <c r="C451" s="138"/>
      <c r="D451" s="92" t="s">
        <v>183</v>
      </c>
      <c r="E451" s="92">
        <v>66537</v>
      </c>
      <c r="F451" s="92">
        <v>101133</v>
      </c>
      <c r="G451" s="92">
        <v>131078</v>
      </c>
      <c r="H451" s="92">
        <v>158358</v>
      </c>
      <c r="I451" s="92">
        <v>169006</v>
      </c>
      <c r="J451" s="92"/>
      <c r="K451" s="86"/>
    </row>
    <row r="452" spans="2:11" ht="11.25">
      <c r="B452" s="85"/>
      <c r="C452" s="139"/>
      <c r="D452" s="92" t="s">
        <v>184</v>
      </c>
      <c r="E452" s="92">
        <v>4.32</v>
      </c>
      <c r="F452" s="92">
        <v>4.97</v>
      </c>
      <c r="G452" s="92">
        <v>5.57</v>
      </c>
      <c r="H452" s="92">
        <v>6.09</v>
      </c>
      <c r="I452" s="92">
        <v>6.78</v>
      </c>
      <c r="J452" s="92"/>
      <c r="K452" s="86"/>
    </row>
    <row r="453" spans="2:11" ht="11.25">
      <c r="B453" s="85"/>
      <c r="C453" s="137" t="s">
        <v>280</v>
      </c>
      <c r="D453" s="92" t="s">
        <v>181</v>
      </c>
      <c r="E453" s="92">
        <v>100.4</v>
      </c>
      <c r="F453" s="92">
        <v>155.6</v>
      </c>
      <c r="G453" s="92">
        <v>197.8</v>
      </c>
      <c r="H453" s="92">
        <v>239</v>
      </c>
      <c r="I453" s="92">
        <v>255</v>
      </c>
      <c r="J453" s="92"/>
      <c r="K453" s="86"/>
    </row>
    <row r="454" spans="2:11" ht="11.25">
      <c r="B454" s="85"/>
      <c r="C454" s="138"/>
      <c r="D454" s="92" t="s">
        <v>183</v>
      </c>
      <c r="E454" s="92">
        <v>70039</v>
      </c>
      <c r="F454" s="92">
        <v>108562</v>
      </c>
      <c r="G454" s="92">
        <v>137977</v>
      </c>
      <c r="H454" s="92">
        <v>166694</v>
      </c>
      <c r="I454" s="92">
        <v>177900</v>
      </c>
      <c r="J454" s="92"/>
      <c r="K454" s="86"/>
    </row>
    <row r="455" spans="2:11" ht="11.25">
      <c r="B455" s="85"/>
      <c r="C455" s="139"/>
      <c r="D455" s="92" t="s">
        <v>184</v>
      </c>
      <c r="E455" s="92">
        <v>4.32</v>
      </c>
      <c r="F455" s="92">
        <v>4.97</v>
      </c>
      <c r="G455" s="92">
        <v>5.57</v>
      </c>
      <c r="H455" s="92">
        <v>6.09</v>
      </c>
      <c r="I455" s="92">
        <v>6.78</v>
      </c>
      <c r="J455" s="92"/>
      <c r="K455" s="86"/>
    </row>
    <row r="456" spans="2:11" ht="11.25">
      <c r="B456" s="85"/>
      <c r="C456" s="137" t="s">
        <v>281</v>
      </c>
      <c r="D456" s="92" t="s">
        <v>181</v>
      </c>
      <c r="E456" s="92">
        <v>125.9</v>
      </c>
      <c r="F456" s="92">
        <v>195.1</v>
      </c>
      <c r="G456" s="92">
        <v>248</v>
      </c>
      <c r="H456" s="92">
        <v>299.6</v>
      </c>
      <c r="I456" s="92">
        <v>319.8</v>
      </c>
      <c r="J456" s="92"/>
      <c r="K456" s="86"/>
    </row>
    <row r="457" spans="2:11" ht="11.25">
      <c r="B457" s="85"/>
      <c r="C457" s="138"/>
      <c r="D457" s="92" t="s">
        <v>183</v>
      </c>
      <c r="E457" s="92">
        <v>64078</v>
      </c>
      <c r="F457" s="92">
        <v>99322</v>
      </c>
      <c r="G457" s="92">
        <v>126233</v>
      </c>
      <c r="H457" s="92">
        <v>152505</v>
      </c>
      <c r="I457" s="92">
        <v>162757</v>
      </c>
      <c r="J457" s="92"/>
      <c r="K457" s="86"/>
    </row>
    <row r="458" spans="2:11" ht="11.25">
      <c r="B458" s="85"/>
      <c r="C458" s="139"/>
      <c r="D458" s="92" t="s">
        <v>184</v>
      </c>
      <c r="E458" s="92">
        <v>4.32</v>
      </c>
      <c r="F458" s="92">
        <v>4.97</v>
      </c>
      <c r="G458" s="92">
        <v>5.57</v>
      </c>
      <c r="H458" s="92">
        <v>6.09</v>
      </c>
      <c r="I458" s="92">
        <v>6.78</v>
      </c>
      <c r="J458" s="92"/>
      <c r="K458" s="86"/>
    </row>
    <row r="459" spans="2:11" ht="11.25">
      <c r="B459" s="85"/>
      <c r="C459" s="137" t="s">
        <v>282</v>
      </c>
      <c r="D459" s="92" t="s">
        <v>181</v>
      </c>
      <c r="E459" s="92">
        <v>78.1</v>
      </c>
      <c r="F459" s="92">
        <v>116.2</v>
      </c>
      <c r="G459" s="92">
        <v>134.2</v>
      </c>
      <c r="H459" s="92">
        <v>196.3</v>
      </c>
      <c r="I459" s="92" t="s">
        <v>182</v>
      </c>
      <c r="J459" s="92" t="s">
        <v>182</v>
      </c>
      <c r="K459" s="86"/>
    </row>
    <row r="460" spans="2:11" ht="11.25">
      <c r="B460" s="85"/>
      <c r="C460" s="138"/>
      <c r="D460" s="92" t="s">
        <v>183</v>
      </c>
      <c r="E460" s="92">
        <v>41273</v>
      </c>
      <c r="F460" s="92">
        <v>77507</v>
      </c>
      <c r="G460" s="92">
        <v>96863</v>
      </c>
      <c r="H460" s="92">
        <v>132069</v>
      </c>
      <c r="I460" s="92" t="s">
        <v>182</v>
      </c>
      <c r="J460" s="92" t="s">
        <v>182</v>
      </c>
      <c r="K460" s="86"/>
    </row>
    <row r="461" spans="2:11" ht="11.25">
      <c r="B461" s="85"/>
      <c r="C461" s="139"/>
      <c r="D461" s="92" t="s">
        <v>184</v>
      </c>
      <c r="E461" s="92">
        <v>5.03</v>
      </c>
      <c r="F461" s="92">
        <v>5.42</v>
      </c>
      <c r="G461" s="92">
        <v>5.89</v>
      </c>
      <c r="H461" s="92">
        <v>6.24</v>
      </c>
      <c r="I461" s="92" t="s">
        <v>182</v>
      </c>
      <c r="J461" s="92" t="s">
        <v>182</v>
      </c>
      <c r="K461" s="86"/>
    </row>
    <row r="462" spans="2:11" ht="11.25">
      <c r="B462" s="85"/>
      <c r="C462" s="137" t="s">
        <v>283</v>
      </c>
      <c r="D462" s="92" t="s">
        <v>181</v>
      </c>
      <c r="E462" s="92">
        <v>84.7</v>
      </c>
      <c r="F462" s="92">
        <v>101.2</v>
      </c>
      <c r="G462" s="92">
        <v>168.2</v>
      </c>
      <c r="H462" s="92">
        <v>214.7</v>
      </c>
      <c r="I462" s="92">
        <v>246.9</v>
      </c>
      <c r="J462" s="92" t="s">
        <v>182</v>
      </c>
      <c r="K462" s="86"/>
    </row>
    <row r="463" spans="2:11" ht="11.25">
      <c r="B463" s="85"/>
      <c r="C463" s="138"/>
      <c r="D463" s="92" t="s">
        <v>183</v>
      </c>
      <c r="E463" s="92">
        <v>52093</v>
      </c>
      <c r="F463" s="92">
        <v>80951</v>
      </c>
      <c r="G463" s="92">
        <v>131523</v>
      </c>
      <c r="H463" s="92">
        <v>195889</v>
      </c>
      <c r="I463" s="92">
        <v>266142</v>
      </c>
      <c r="J463" s="92" t="s">
        <v>182</v>
      </c>
      <c r="K463" s="86"/>
    </row>
    <row r="464" spans="2:11" ht="11.25">
      <c r="B464" s="85"/>
      <c r="C464" s="139"/>
      <c r="D464" s="92" t="s">
        <v>184</v>
      </c>
      <c r="E464" s="92">
        <v>4.41</v>
      </c>
      <c r="F464" s="92">
        <v>5.11</v>
      </c>
      <c r="G464" s="92">
        <v>5.96</v>
      </c>
      <c r="H464" s="92">
        <v>6.57</v>
      </c>
      <c r="I464" s="92">
        <v>7.15</v>
      </c>
      <c r="J464" s="92" t="s">
        <v>182</v>
      </c>
      <c r="K464" s="86"/>
    </row>
    <row r="465" spans="2:11" ht="11.25">
      <c r="B465" s="85"/>
      <c r="C465" s="137" t="s">
        <v>284</v>
      </c>
      <c r="D465" s="92" t="s">
        <v>181</v>
      </c>
      <c r="E465" s="92">
        <v>162.2</v>
      </c>
      <c r="F465" s="92">
        <v>247.6</v>
      </c>
      <c r="G465" s="92">
        <v>349.6</v>
      </c>
      <c r="H465" s="92">
        <v>427.6</v>
      </c>
      <c r="I465" s="92">
        <v>442.8</v>
      </c>
      <c r="J465" s="92">
        <v>478.6</v>
      </c>
      <c r="K465" s="86"/>
    </row>
    <row r="466" spans="2:11" ht="11.25">
      <c r="B466" s="85"/>
      <c r="C466" s="138"/>
      <c r="D466" s="92" t="s">
        <v>183</v>
      </c>
      <c r="E466" s="92">
        <v>57812</v>
      </c>
      <c r="F466" s="92">
        <v>85611</v>
      </c>
      <c r="G466" s="92">
        <v>160163</v>
      </c>
      <c r="H466" s="92">
        <v>229940</v>
      </c>
      <c r="I466" s="92">
        <v>253803</v>
      </c>
      <c r="J466" s="92">
        <v>307858</v>
      </c>
      <c r="K466" s="86"/>
    </row>
    <row r="467" spans="2:11" ht="11.25">
      <c r="B467" s="85"/>
      <c r="C467" s="139"/>
      <c r="D467" s="92" t="s">
        <v>184</v>
      </c>
      <c r="E467" s="92">
        <v>8.68</v>
      </c>
      <c r="F467" s="92">
        <v>9.41</v>
      </c>
      <c r="G467" s="92">
        <v>10.14</v>
      </c>
      <c r="H467" s="92">
        <v>12.23</v>
      </c>
      <c r="I467" s="92">
        <v>13.65</v>
      </c>
      <c r="J467" s="92">
        <v>15.41</v>
      </c>
      <c r="K467" s="86"/>
    </row>
    <row r="468" spans="2:11" ht="11.25">
      <c r="B468" s="85"/>
      <c r="C468" s="137" t="s">
        <v>285</v>
      </c>
      <c r="D468" s="92" t="s">
        <v>181</v>
      </c>
      <c r="E468" s="92">
        <v>146.9</v>
      </c>
      <c r="F468" s="92">
        <v>214.9</v>
      </c>
      <c r="G468" s="92">
        <v>332.4</v>
      </c>
      <c r="H468" s="92">
        <v>421.4</v>
      </c>
      <c r="I468" s="92">
        <v>453.2</v>
      </c>
      <c r="J468" s="92">
        <v>453.2</v>
      </c>
      <c r="K468" s="86"/>
    </row>
    <row r="469" spans="2:11" ht="11.25">
      <c r="B469" s="85"/>
      <c r="C469" s="138"/>
      <c r="D469" s="92" t="s">
        <v>183</v>
      </c>
      <c r="E469" s="92">
        <v>58998</v>
      </c>
      <c r="F469" s="92">
        <v>92299</v>
      </c>
      <c r="G469" s="92">
        <v>167358</v>
      </c>
      <c r="H469" s="92">
        <v>209710</v>
      </c>
      <c r="I469" s="92">
        <v>256829</v>
      </c>
      <c r="J469" s="92">
        <v>317421</v>
      </c>
      <c r="K469" s="86"/>
    </row>
    <row r="470" spans="2:11" ht="11.25">
      <c r="B470" s="85"/>
      <c r="C470" s="139"/>
      <c r="D470" s="92" t="s">
        <v>184</v>
      </c>
      <c r="E470" s="92">
        <v>7.98</v>
      </c>
      <c r="F470" s="92">
        <v>8.56</v>
      </c>
      <c r="G470" s="92">
        <v>9.75</v>
      </c>
      <c r="H470" s="92">
        <v>11.14</v>
      </c>
      <c r="I470" s="92">
        <v>12.42</v>
      </c>
      <c r="J470" s="92">
        <v>14.54</v>
      </c>
      <c r="K470" s="86"/>
    </row>
    <row r="471" spans="2:11" ht="11.25">
      <c r="B471" s="85"/>
      <c r="C471" s="137" t="s">
        <v>286</v>
      </c>
      <c r="D471" s="92" t="s">
        <v>181</v>
      </c>
      <c r="E471" s="92">
        <v>57.4</v>
      </c>
      <c r="F471" s="92">
        <v>116.4</v>
      </c>
      <c r="G471" s="92">
        <v>217.5</v>
      </c>
      <c r="H471" s="92">
        <v>244.9</v>
      </c>
      <c r="I471" s="92">
        <v>311.7</v>
      </c>
      <c r="J471" s="92">
        <v>423.3</v>
      </c>
      <c r="K471" s="86"/>
    </row>
    <row r="472" spans="2:11" ht="11.25">
      <c r="B472" s="85"/>
      <c r="C472" s="138"/>
      <c r="D472" s="92" t="s">
        <v>183</v>
      </c>
      <c r="E472" s="92">
        <v>69812</v>
      </c>
      <c r="F472" s="92">
        <v>93109</v>
      </c>
      <c r="G472" s="92">
        <v>160140</v>
      </c>
      <c r="H472" s="92">
        <v>222392</v>
      </c>
      <c r="I472" s="92">
        <v>249513</v>
      </c>
      <c r="J472" s="92">
        <v>294570</v>
      </c>
      <c r="K472" s="86"/>
    </row>
    <row r="473" spans="2:11" ht="11.25">
      <c r="B473" s="85"/>
      <c r="C473" s="139"/>
      <c r="D473" s="92" t="s">
        <v>184</v>
      </c>
      <c r="E473" s="92">
        <v>7.89</v>
      </c>
      <c r="F473" s="92">
        <v>8.27</v>
      </c>
      <c r="G473" s="92">
        <v>8.71</v>
      </c>
      <c r="H473" s="92">
        <v>11.15</v>
      </c>
      <c r="I473" s="92">
        <v>12.32</v>
      </c>
      <c r="J473" s="92">
        <v>15.24</v>
      </c>
      <c r="K473" s="86"/>
    </row>
    <row r="474" spans="2:11" ht="11.25">
      <c r="B474" s="85"/>
      <c r="C474" s="137" t="s">
        <v>381</v>
      </c>
      <c r="D474" s="92" t="s">
        <v>181</v>
      </c>
      <c r="E474" s="92">
        <v>74.3</v>
      </c>
      <c r="F474" s="92">
        <v>136.8</v>
      </c>
      <c r="G474" s="92">
        <v>164.1</v>
      </c>
      <c r="H474" s="92">
        <v>185.6</v>
      </c>
      <c r="I474" s="92">
        <v>204.7</v>
      </c>
      <c r="J474" s="92" t="s">
        <v>182</v>
      </c>
      <c r="K474" s="86"/>
    </row>
    <row r="475" spans="2:11" ht="11.25">
      <c r="B475" s="85"/>
      <c r="C475" s="138"/>
      <c r="D475" s="92" t="s">
        <v>183</v>
      </c>
      <c r="E475" s="92">
        <v>51121</v>
      </c>
      <c r="F475" s="92">
        <v>73123</v>
      </c>
      <c r="G475" s="92">
        <v>121421</v>
      </c>
      <c r="H475" s="92">
        <v>127650</v>
      </c>
      <c r="I475" s="92">
        <v>190062</v>
      </c>
      <c r="J475" s="92" t="s">
        <v>182</v>
      </c>
      <c r="K475" s="86"/>
    </row>
    <row r="476" spans="2:11" ht="11.25">
      <c r="B476" s="85"/>
      <c r="C476" s="139"/>
      <c r="D476" s="92" t="s">
        <v>184</v>
      </c>
      <c r="E476" s="92">
        <v>3.47</v>
      </c>
      <c r="F476" s="92">
        <v>4.05</v>
      </c>
      <c r="G476" s="92">
        <v>4.64</v>
      </c>
      <c r="H476" s="92">
        <v>5.14</v>
      </c>
      <c r="I476" s="92">
        <v>5.91</v>
      </c>
      <c r="J476" s="92" t="s">
        <v>182</v>
      </c>
      <c r="K476" s="86"/>
    </row>
    <row r="477" spans="2:11" ht="11.25">
      <c r="B477" s="85"/>
      <c r="C477" s="137" t="s">
        <v>382</v>
      </c>
      <c r="D477" s="92" t="s">
        <v>181</v>
      </c>
      <c r="E477" s="92">
        <v>53.5</v>
      </c>
      <c r="F477" s="92">
        <v>85.6</v>
      </c>
      <c r="G477" s="92">
        <v>121.4</v>
      </c>
      <c r="H477" s="92">
        <v>156.2</v>
      </c>
      <c r="I477" s="92">
        <v>180.8</v>
      </c>
      <c r="J477" s="92"/>
      <c r="K477" s="86"/>
    </row>
    <row r="478" spans="2:11" ht="11.25">
      <c r="B478" s="85"/>
      <c r="C478" s="138"/>
      <c r="D478" s="92" t="s">
        <v>183</v>
      </c>
      <c r="E478" s="92">
        <v>55744</v>
      </c>
      <c r="F478" s="92">
        <v>89189</v>
      </c>
      <c r="G478" s="92">
        <v>126538</v>
      </c>
      <c r="H478" s="92">
        <v>162772</v>
      </c>
      <c r="I478" s="92">
        <v>188413</v>
      </c>
      <c r="J478" s="92"/>
      <c r="K478" s="86"/>
    </row>
    <row r="479" spans="2:11" ht="11.25">
      <c r="B479" s="85"/>
      <c r="C479" s="139"/>
      <c r="D479" s="92" t="s">
        <v>184</v>
      </c>
      <c r="E479" s="92">
        <v>3.88</v>
      </c>
      <c r="F479" s="92">
        <v>4.39</v>
      </c>
      <c r="G479" s="92">
        <v>4.89</v>
      </c>
      <c r="H479" s="92">
        <v>5.63</v>
      </c>
      <c r="I479" s="92">
        <v>6.09</v>
      </c>
      <c r="J479" s="92"/>
      <c r="K479" s="86"/>
    </row>
    <row r="480" spans="2:11" ht="11.25">
      <c r="B480" s="85"/>
      <c r="C480" s="137" t="s">
        <v>383</v>
      </c>
      <c r="D480" s="92" t="s">
        <v>181</v>
      </c>
      <c r="E480" s="92">
        <v>48.2</v>
      </c>
      <c r="F480" s="92">
        <v>77.2</v>
      </c>
      <c r="G480" s="92">
        <v>109.4</v>
      </c>
      <c r="H480" s="92">
        <v>140.7</v>
      </c>
      <c r="I480" s="92">
        <v>162.9</v>
      </c>
      <c r="J480" s="92"/>
      <c r="K480" s="86"/>
    </row>
    <row r="481" spans="2:11" ht="11.25">
      <c r="B481" s="85"/>
      <c r="C481" s="138"/>
      <c r="D481" s="92" t="s">
        <v>183</v>
      </c>
      <c r="E481" s="92">
        <v>50170</v>
      </c>
      <c r="F481" s="92">
        <v>80271</v>
      </c>
      <c r="G481" s="92">
        <v>113885</v>
      </c>
      <c r="H481" s="92">
        <v>146495</v>
      </c>
      <c r="I481" s="92">
        <v>169572</v>
      </c>
      <c r="J481" s="92"/>
      <c r="K481" s="86"/>
    </row>
    <row r="482" spans="2:11" ht="11.25">
      <c r="B482" s="85"/>
      <c r="C482" s="139"/>
      <c r="D482" s="92" t="s">
        <v>184</v>
      </c>
      <c r="E482" s="92">
        <v>3.88</v>
      </c>
      <c r="F482" s="92">
        <v>4.39</v>
      </c>
      <c r="G482" s="92">
        <v>4.89</v>
      </c>
      <c r="H482" s="92">
        <v>5.63</v>
      </c>
      <c r="I482" s="92">
        <v>6.09</v>
      </c>
      <c r="J482" s="92"/>
      <c r="K482" s="86"/>
    </row>
    <row r="483" spans="2:11" ht="11.25">
      <c r="B483" s="85"/>
      <c r="C483" s="137" t="s">
        <v>384</v>
      </c>
      <c r="D483" s="92" t="s">
        <v>181</v>
      </c>
      <c r="E483" s="92">
        <v>53.5</v>
      </c>
      <c r="F483" s="92">
        <v>85.6</v>
      </c>
      <c r="G483" s="92">
        <v>121.4</v>
      </c>
      <c r="H483" s="92">
        <v>156.2</v>
      </c>
      <c r="I483" s="92">
        <v>180.8</v>
      </c>
      <c r="J483" s="92"/>
      <c r="K483" s="86"/>
    </row>
    <row r="484" spans="2:11" ht="11.25">
      <c r="B484" s="85"/>
      <c r="C484" s="138"/>
      <c r="D484" s="92" t="s">
        <v>183</v>
      </c>
      <c r="E484" s="92">
        <v>55744</v>
      </c>
      <c r="F484" s="92">
        <v>89189</v>
      </c>
      <c r="G484" s="92">
        <v>126538</v>
      </c>
      <c r="H484" s="92">
        <v>162772</v>
      </c>
      <c r="I484" s="92">
        <v>188413</v>
      </c>
      <c r="J484" s="92"/>
      <c r="K484" s="86"/>
    </row>
    <row r="485" spans="2:11" ht="11.25">
      <c r="B485" s="85"/>
      <c r="C485" s="139"/>
      <c r="D485" s="92" t="s">
        <v>184</v>
      </c>
      <c r="E485" s="92">
        <v>3.88</v>
      </c>
      <c r="F485" s="92">
        <v>4.39</v>
      </c>
      <c r="G485" s="92">
        <v>4.89</v>
      </c>
      <c r="H485" s="92">
        <v>5.63</v>
      </c>
      <c r="I485" s="92">
        <v>6.09</v>
      </c>
      <c r="J485" s="92"/>
      <c r="K485" s="86"/>
    </row>
    <row r="486" spans="2:11" ht="11.25">
      <c r="B486" s="85"/>
      <c r="C486" s="137" t="s">
        <v>385</v>
      </c>
      <c r="D486" s="92" t="s">
        <v>181</v>
      </c>
      <c r="E486" s="92">
        <v>53.5</v>
      </c>
      <c r="F486" s="92">
        <v>85.6</v>
      </c>
      <c r="G486" s="92">
        <v>121.4</v>
      </c>
      <c r="H486" s="92">
        <v>156.2</v>
      </c>
      <c r="I486" s="92">
        <v>180.8</v>
      </c>
      <c r="J486" s="92"/>
      <c r="K486" s="86"/>
    </row>
    <row r="487" spans="2:11" ht="11.25">
      <c r="B487" s="85"/>
      <c r="C487" s="138"/>
      <c r="D487" s="92" t="s">
        <v>183</v>
      </c>
      <c r="E487" s="92">
        <v>55743</v>
      </c>
      <c r="F487" s="92">
        <v>89189</v>
      </c>
      <c r="G487" s="92">
        <v>126538</v>
      </c>
      <c r="H487" s="92">
        <v>162772</v>
      </c>
      <c r="I487" s="92">
        <v>188413</v>
      </c>
      <c r="J487" s="92"/>
      <c r="K487" s="86"/>
    </row>
    <row r="488" spans="2:11" ht="11.25">
      <c r="B488" s="85"/>
      <c r="C488" s="139"/>
      <c r="D488" s="92" t="s">
        <v>184</v>
      </c>
      <c r="E488" s="92">
        <v>3.88</v>
      </c>
      <c r="F488" s="92">
        <v>4.39</v>
      </c>
      <c r="G488" s="92">
        <v>4.89</v>
      </c>
      <c r="H488" s="92">
        <v>5.63</v>
      </c>
      <c r="I488" s="92">
        <v>6.09</v>
      </c>
      <c r="J488" s="92"/>
      <c r="K488" s="86"/>
    </row>
    <row r="489" spans="2:11" ht="11.25">
      <c r="B489" s="85"/>
      <c r="C489" s="137" t="s">
        <v>287</v>
      </c>
      <c r="D489" s="92" t="s">
        <v>181</v>
      </c>
      <c r="E489" s="92">
        <v>168.4</v>
      </c>
      <c r="F489" s="92">
        <v>197.8</v>
      </c>
      <c r="G489" s="92">
        <v>231.6</v>
      </c>
      <c r="H489" s="92">
        <v>326.4</v>
      </c>
      <c r="I489" s="92">
        <v>398.7</v>
      </c>
      <c r="J489" s="92">
        <v>429.8</v>
      </c>
      <c r="K489" s="86"/>
    </row>
    <row r="490" spans="2:11" ht="11.25">
      <c r="B490" s="85"/>
      <c r="C490" s="138"/>
      <c r="D490" s="92" t="s">
        <v>183</v>
      </c>
      <c r="E490" s="92">
        <v>64574</v>
      </c>
      <c r="F490" s="92">
        <v>131343</v>
      </c>
      <c r="G490" s="92">
        <v>194528</v>
      </c>
      <c r="H490" s="92">
        <v>263464</v>
      </c>
      <c r="I490" s="92">
        <v>293818</v>
      </c>
      <c r="J490" s="92">
        <v>326812</v>
      </c>
      <c r="K490" s="86"/>
    </row>
    <row r="491" spans="2:11" ht="11.25">
      <c r="B491" s="85"/>
      <c r="C491" s="139"/>
      <c r="D491" s="92" t="s">
        <v>184</v>
      </c>
      <c r="E491" s="92">
        <v>8.49</v>
      </c>
      <c r="F491" s="92">
        <v>9.25</v>
      </c>
      <c r="G491" s="92">
        <v>9.88</v>
      </c>
      <c r="H491" s="92">
        <v>11.31</v>
      </c>
      <c r="I491" s="92">
        <v>12.21</v>
      </c>
      <c r="J491" s="92">
        <v>14.94</v>
      </c>
      <c r="K491" s="86"/>
    </row>
    <row r="492" spans="2:11" ht="11.25">
      <c r="B492" s="85"/>
      <c r="C492" s="137" t="s">
        <v>288</v>
      </c>
      <c r="D492" s="92" t="s">
        <v>181</v>
      </c>
      <c r="E492" s="92">
        <v>27.7</v>
      </c>
      <c r="F492" s="92">
        <v>56.4</v>
      </c>
      <c r="G492" s="92">
        <v>141.5</v>
      </c>
      <c r="H492" s="92">
        <v>244.9</v>
      </c>
      <c r="I492" s="92">
        <v>314.2</v>
      </c>
      <c r="J492" s="92">
        <v>414.3</v>
      </c>
      <c r="K492" s="86"/>
    </row>
    <row r="493" spans="2:11" ht="11.25">
      <c r="B493" s="85"/>
      <c r="C493" s="138"/>
      <c r="D493" s="92" t="s">
        <v>183</v>
      </c>
      <c r="E493" s="92">
        <v>59164</v>
      </c>
      <c r="F493" s="92">
        <v>94748</v>
      </c>
      <c r="G493" s="92">
        <v>154737</v>
      </c>
      <c r="H493" s="92">
        <v>227783</v>
      </c>
      <c r="I493" s="92">
        <v>261388</v>
      </c>
      <c r="J493" s="92">
        <v>296298</v>
      </c>
      <c r="K493" s="86"/>
    </row>
    <row r="494" spans="2:11" ht="11.25">
      <c r="B494" s="85"/>
      <c r="C494" s="139"/>
      <c r="D494" s="92" t="s">
        <v>184</v>
      </c>
      <c r="E494" s="92">
        <v>7.69</v>
      </c>
      <c r="F494" s="92">
        <v>8.35</v>
      </c>
      <c r="G494" s="92">
        <v>8.94</v>
      </c>
      <c r="H494" s="92">
        <v>11.43</v>
      </c>
      <c r="I494" s="92">
        <v>12.69</v>
      </c>
      <c r="J494" s="92">
        <v>15.47</v>
      </c>
      <c r="K494" s="86"/>
    </row>
    <row r="495" spans="2:11" ht="11.25">
      <c r="B495" s="85"/>
      <c r="C495" s="137" t="s">
        <v>386</v>
      </c>
      <c r="D495" s="92" t="s">
        <v>181</v>
      </c>
      <c r="E495" s="92">
        <v>70.6</v>
      </c>
      <c r="F495" s="92">
        <v>113</v>
      </c>
      <c r="G495" s="92">
        <v>160.3</v>
      </c>
      <c r="H495" s="92">
        <v>206.2</v>
      </c>
      <c r="I495" s="92">
        <v>238.6</v>
      </c>
      <c r="J495" s="92"/>
      <c r="K495" s="86"/>
    </row>
    <row r="496" spans="2:11" ht="11.25">
      <c r="B496" s="85"/>
      <c r="C496" s="138"/>
      <c r="D496" s="92" t="s">
        <v>183</v>
      </c>
      <c r="E496" s="92">
        <v>66648</v>
      </c>
      <c r="F496" s="92">
        <v>106638</v>
      </c>
      <c r="G496" s="92">
        <v>151292</v>
      </c>
      <c r="H496" s="92">
        <v>194613</v>
      </c>
      <c r="I496" s="92">
        <v>225271</v>
      </c>
      <c r="J496" s="92"/>
      <c r="K496" s="86"/>
    </row>
    <row r="497" spans="2:11" ht="11.25">
      <c r="B497" s="85"/>
      <c r="C497" s="139"/>
      <c r="D497" s="92" t="s">
        <v>184</v>
      </c>
      <c r="E497" s="92">
        <v>3.88</v>
      </c>
      <c r="F497" s="92">
        <v>4.39</v>
      </c>
      <c r="G497" s="92">
        <v>4.89</v>
      </c>
      <c r="H497" s="92">
        <v>5.63</v>
      </c>
      <c r="I497" s="92">
        <v>6.09</v>
      </c>
      <c r="J497" s="92"/>
      <c r="K497" s="86"/>
    </row>
    <row r="498" spans="2:11" ht="11.25">
      <c r="B498" s="85"/>
      <c r="C498" s="137" t="s">
        <v>289</v>
      </c>
      <c r="D498" s="92" t="s">
        <v>181</v>
      </c>
      <c r="E498" s="92">
        <v>68.9</v>
      </c>
      <c r="F498" s="92">
        <v>97.8</v>
      </c>
      <c r="G498" s="92">
        <v>136.7</v>
      </c>
      <c r="H498" s="92">
        <v>174.9</v>
      </c>
      <c r="I498" s="92" t="s">
        <v>182</v>
      </c>
      <c r="J498" s="92" t="s">
        <v>182</v>
      </c>
      <c r="K498" s="86"/>
    </row>
    <row r="499" spans="2:11" ht="11.25">
      <c r="B499" s="85"/>
      <c r="C499" s="138"/>
      <c r="D499" s="92" t="s">
        <v>183</v>
      </c>
      <c r="E499" s="92">
        <v>40444</v>
      </c>
      <c r="F499" s="92">
        <v>51443</v>
      </c>
      <c r="G499" s="92">
        <v>71353</v>
      </c>
      <c r="H499" s="92">
        <v>117088</v>
      </c>
      <c r="I499" s="92" t="s">
        <v>182</v>
      </c>
      <c r="J499" s="92" t="s">
        <v>182</v>
      </c>
      <c r="K499" s="86"/>
    </row>
    <row r="500" spans="2:11" ht="11.25">
      <c r="B500" s="85"/>
      <c r="C500" s="139"/>
      <c r="D500" s="92" t="s">
        <v>184</v>
      </c>
      <c r="E500" s="92">
        <v>3.95</v>
      </c>
      <c r="F500" s="92">
        <v>4.48</v>
      </c>
      <c r="G500" s="92">
        <v>5.11</v>
      </c>
      <c r="H500" s="92">
        <v>5.64</v>
      </c>
      <c r="I500" s="92" t="s">
        <v>182</v>
      </c>
      <c r="J500" s="92" t="s">
        <v>182</v>
      </c>
      <c r="K500" s="86"/>
    </row>
    <row r="501" spans="2:11" ht="11.25">
      <c r="B501" s="85"/>
      <c r="C501" s="137" t="s">
        <v>290</v>
      </c>
      <c r="D501" s="92" t="s">
        <v>181</v>
      </c>
      <c r="E501" s="92">
        <v>90.2</v>
      </c>
      <c r="F501" s="92">
        <v>144.2</v>
      </c>
      <c r="G501" s="92">
        <v>204.7</v>
      </c>
      <c r="H501" s="92">
        <v>263.3</v>
      </c>
      <c r="I501" s="92">
        <v>304.7</v>
      </c>
      <c r="J501" s="92">
        <v>348</v>
      </c>
      <c r="K501" s="86"/>
    </row>
    <row r="502" spans="2:11" ht="11.25">
      <c r="B502" s="85"/>
      <c r="C502" s="138"/>
      <c r="D502" s="92" t="s">
        <v>183</v>
      </c>
      <c r="E502" s="92">
        <v>63476</v>
      </c>
      <c r="F502" s="92">
        <v>101562</v>
      </c>
      <c r="G502" s="92">
        <v>162500</v>
      </c>
      <c r="H502" s="92">
        <v>212012</v>
      </c>
      <c r="I502" s="92">
        <v>242480</v>
      </c>
      <c r="J502" s="92">
        <v>272950</v>
      </c>
      <c r="K502" s="86"/>
    </row>
    <row r="503" spans="2:11" ht="11.25">
      <c r="B503" s="85"/>
      <c r="C503" s="139"/>
      <c r="D503" s="92" t="s">
        <v>184</v>
      </c>
      <c r="E503" s="92">
        <v>3.88</v>
      </c>
      <c r="F503" s="92">
        <v>4.39</v>
      </c>
      <c r="G503" s="92">
        <v>4.89</v>
      </c>
      <c r="H503" s="92">
        <v>5.63</v>
      </c>
      <c r="I503" s="92">
        <v>6.1</v>
      </c>
      <c r="J503" s="92">
        <v>6.91</v>
      </c>
      <c r="K503" s="86"/>
    </row>
    <row r="504" spans="2:11" ht="11.25">
      <c r="B504" s="85"/>
      <c r="C504" s="137" t="s">
        <v>291</v>
      </c>
      <c r="D504" s="92" t="s">
        <v>181</v>
      </c>
      <c r="E504" s="92">
        <v>61.5</v>
      </c>
      <c r="F504" s="92">
        <v>94.8</v>
      </c>
      <c r="G504" s="92">
        <v>124.4</v>
      </c>
      <c r="H504" s="92">
        <v>165.7</v>
      </c>
      <c r="I504" s="92" t="s">
        <v>182</v>
      </c>
      <c r="J504" s="92" t="s">
        <v>182</v>
      </c>
      <c r="K504" s="86"/>
    </row>
    <row r="505" spans="2:11" ht="11.25">
      <c r="B505" s="85"/>
      <c r="C505" s="138"/>
      <c r="D505" s="92" t="s">
        <v>183</v>
      </c>
      <c r="E505" s="92">
        <v>20478</v>
      </c>
      <c r="F505" s="92">
        <v>50772</v>
      </c>
      <c r="G505" s="92">
        <v>79125</v>
      </c>
      <c r="H505" s="92">
        <v>101026</v>
      </c>
      <c r="I505" s="92" t="s">
        <v>182</v>
      </c>
      <c r="J505" s="92" t="s">
        <v>182</v>
      </c>
      <c r="K505" s="86"/>
    </row>
    <row r="506" spans="2:11" ht="11.25">
      <c r="B506" s="85"/>
      <c r="C506" s="139"/>
      <c r="D506" s="92" t="s">
        <v>184</v>
      </c>
      <c r="E506" s="92">
        <v>3.24</v>
      </c>
      <c r="F506" s="92">
        <v>3.96</v>
      </c>
      <c r="G506" s="92">
        <v>4.51</v>
      </c>
      <c r="H506" s="92">
        <v>5.08</v>
      </c>
      <c r="I506" s="92" t="s">
        <v>182</v>
      </c>
      <c r="J506" s="92" t="s">
        <v>182</v>
      </c>
      <c r="K506" s="86"/>
    </row>
    <row r="507" spans="2:11" ht="11.25">
      <c r="B507" s="85"/>
      <c r="C507" s="137" t="s">
        <v>314</v>
      </c>
      <c r="D507" s="92" t="s">
        <v>181</v>
      </c>
      <c r="E507" s="92">
        <v>92.4</v>
      </c>
      <c r="F507" s="92">
        <v>204.1</v>
      </c>
      <c r="G507" s="92">
        <v>298.5</v>
      </c>
      <c r="H507" s="92">
        <v>369.1</v>
      </c>
      <c r="I507" s="92">
        <v>409.8</v>
      </c>
      <c r="J507" s="92">
        <v>421.7</v>
      </c>
      <c r="K507" s="86"/>
    </row>
    <row r="508" spans="2:11" ht="11.25">
      <c r="B508" s="85"/>
      <c r="C508" s="138"/>
      <c r="D508" s="92" t="s">
        <v>183</v>
      </c>
      <c r="E508" s="92">
        <v>75947</v>
      </c>
      <c r="F508" s="92">
        <v>156396</v>
      </c>
      <c r="G508" s="92">
        <v>203473</v>
      </c>
      <c r="H508" s="92">
        <v>292352</v>
      </c>
      <c r="I508" s="92">
        <v>314404</v>
      </c>
      <c r="J508" s="92">
        <v>341069</v>
      </c>
      <c r="K508" s="86"/>
    </row>
    <row r="509" spans="2:11" ht="11.25">
      <c r="B509" s="85"/>
      <c r="C509" s="139"/>
      <c r="D509" s="92" t="s">
        <v>184</v>
      </c>
      <c r="E509" s="92">
        <v>8.3</v>
      </c>
      <c r="F509" s="92">
        <v>9.72</v>
      </c>
      <c r="G509" s="92">
        <v>11.01</v>
      </c>
      <c r="H509" s="92">
        <v>11.76</v>
      </c>
      <c r="I509" s="92">
        <v>12.34</v>
      </c>
      <c r="J509" s="92">
        <v>13.32</v>
      </c>
      <c r="K509" s="86"/>
    </row>
    <row r="510" spans="2:11" ht="11.25">
      <c r="B510" s="85"/>
      <c r="C510" s="137" t="s">
        <v>292</v>
      </c>
      <c r="D510" s="92" t="s">
        <v>181</v>
      </c>
      <c r="E510" s="92">
        <v>85.3</v>
      </c>
      <c r="F510" s="92">
        <v>132.2</v>
      </c>
      <c r="G510" s="92">
        <v>168.1</v>
      </c>
      <c r="H510" s="92">
        <v>203</v>
      </c>
      <c r="I510" s="92">
        <v>249.9</v>
      </c>
      <c r="J510" s="92">
        <v>285.8</v>
      </c>
      <c r="K510" s="86"/>
    </row>
    <row r="511" spans="2:11" ht="11.25">
      <c r="B511" s="85"/>
      <c r="C511" s="138"/>
      <c r="D511" s="92" t="s">
        <v>183</v>
      </c>
      <c r="E511" s="92">
        <v>56372</v>
      </c>
      <c r="F511" s="92">
        <v>101470</v>
      </c>
      <c r="G511" s="92">
        <v>142058</v>
      </c>
      <c r="H511" s="92">
        <v>171371</v>
      </c>
      <c r="I511" s="92">
        <v>204067</v>
      </c>
      <c r="J511" s="92">
        <v>213086</v>
      </c>
      <c r="K511" s="86"/>
    </row>
    <row r="512" spans="2:11" ht="11.25">
      <c r="B512" s="85"/>
      <c r="C512" s="139"/>
      <c r="D512" s="92" t="s">
        <v>184</v>
      </c>
      <c r="E512" s="92">
        <v>4.02</v>
      </c>
      <c r="F512" s="92">
        <v>4.62</v>
      </c>
      <c r="G512" s="92">
        <v>5.19</v>
      </c>
      <c r="H512" s="92">
        <v>5.67</v>
      </c>
      <c r="I512" s="92">
        <v>6.83</v>
      </c>
      <c r="J512" s="92">
        <v>7.8</v>
      </c>
      <c r="K512" s="86"/>
    </row>
    <row r="513" spans="2:11" ht="11.25">
      <c r="B513" s="85"/>
      <c r="C513" s="137" t="s">
        <v>293</v>
      </c>
      <c r="D513" s="92" t="s">
        <v>181</v>
      </c>
      <c r="E513" s="92">
        <v>118.5</v>
      </c>
      <c r="F513" s="92">
        <v>183.7</v>
      </c>
      <c r="G513" s="92">
        <v>233.4</v>
      </c>
      <c r="H513" s="92">
        <v>282</v>
      </c>
      <c r="I513" s="92">
        <v>347.2</v>
      </c>
      <c r="J513" s="92">
        <v>397</v>
      </c>
      <c r="K513" s="86"/>
    </row>
    <row r="514" spans="2:11" ht="11.25">
      <c r="B514" s="85"/>
      <c r="C514" s="138"/>
      <c r="D514" s="92" t="s">
        <v>183</v>
      </c>
      <c r="E514" s="92">
        <v>62587</v>
      </c>
      <c r="F514" s="92">
        <v>112657</v>
      </c>
      <c r="G514" s="92">
        <v>157720</v>
      </c>
      <c r="H514" s="92">
        <v>190264</v>
      </c>
      <c r="I514" s="92">
        <v>226565</v>
      </c>
      <c r="J514" s="92">
        <v>236579</v>
      </c>
      <c r="K514" s="86"/>
    </row>
    <row r="515" spans="2:11" ht="11.25">
      <c r="B515" s="85"/>
      <c r="C515" s="139"/>
      <c r="D515" s="92" t="s">
        <v>184</v>
      </c>
      <c r="E515" s="92">
        <v>4.02</v>
      </c>
      <c r="F515" s="92">
        <v>4.62</v>
      </c>
      <c r="G515" s="92">
        <v>5.19</v>
      </c>
      <c r="H515" s="92">
        <v>5.67</v>
      </c>
      <c r="I515" s="92">
        <v>6.83</v>
      </c>
      <c r="J515" s="92">
        <v>7.8</v>
      </c>
      <c r="K515" s="86"/>
    </row>
    <row r="516" spans="2:11" ht="11.25">
      <c r="B516" s="85"/>
      <c r="C516" s="137" t="s">
        <v>294</v>
      </c>
      <c r="D516" s="92" t="s">
        <v>181</v>
      </c>
      <c r="E516" s="92">
        <v>62.6</v>
      </c>
      <c r="F516" s="92">
        <v>100.2</v>
      </c>
      <c r="G516" s="92">
        <v>142</v>
      </c>
      <c r="H516" s="92">
        <v>182.8</v>
      </c>
      <c r="I516" s="92">
        <v>217.2</v>
      </c>
      <c r="J516" s="92">
        <v>294.8</v>
      </c>
      <c r="K516" s="86"/>
    </row>
    <row r="517" spans="2:11" ht="11.25">
      <c r="B517" s="85"/>
      <c r="C517" s="138"/>
      <c r="D517" s="92" t="s">
        <v>183</v>
      </c>
      <c r="E517" s="92">
        <v>31510</v>
      </c>
      <c r="F517" s="92">
        <v>50416</v>
      </c>
      <c r="G517" s="92">
        <v>78145</v>
      </c>
      <c r="H517" s="92">
        <v>101778</v>
      </c>
      <c r="I517" s="92">
        <v>124149</v>
      </c>
      <c r="J517" s="92">
        <v>156290</v>
      </c>
      <c r="K517" s="86"/>
    </row>
    <row r="518" spans="2:11" ht="11.25">
      <c r="B518" s="85"/>
      <c r="C518" s="139"/>
      <c r="D518" s="92" t="s">
        <v>184</v>
      </c>
      <c r="E518" s="92">
        <v>3.53</v>
      </c>
      <c r="F518" s="92">
        <v>3.99</v>
      </c>
      <c r="G518" s="92">
        <v>4.45</v>
      </c>
      <c r="H518" s="92">
        <v>5.12</v>
      </c>
      <c r="I518" s="92">
        <v>5.75</v>
      </c>
      <c r="J518" s="92">
        <v>7.8</v>
      </c>
      <c r="K518" s="86"/>
    </row>
    <row r="519" spans="2:11" ht="11.25">
      <c r="B519" s="85"/>
      <c r="C519" s="137" t="s">
        <v>387</v>
      </c>
      <c r="D519" s="92" t="s">
        <v>181</v>
      </c>
      <c r="E519" s="92">
        <v>65.7</v>
      </c>
      <c r="F519" s="92">
        <v>105.1</v>
      </c>
      <c r="G519" s="92">
        <v>149.1</v>
      </c>
      <c r="H519" s="92">
        <v>191.8</v>
      </c>
      <c r="I519" s="92">
        <v>228</v>
      </c>
      <c r="J519" s="92">
        <v>309.4</v>
      </c>
      <c r="K519" s="86"/>
    </row>
    <row r="520" spans="2:11" ht="11.25">
      <c r="B520" s="85"/>
      <c r="C520" s="138"/>
      <c r="D520" s="92" t="s">
        <v>183</v>
      </c>
      <c r="E520" s="92">
        <v>36237</v>
      </c>
      <c r="F520" s="92">
        <v>57978</v>
      </c>
      <c r="G520" s="92">
        <v>89867</v>
      </c>
      <c r="H520" s="92">
        <v>117045</v>
      </c>
      <c r="I520" s="92">
        <v>142772</v>
      </c>
      <c r="J520" s="92">
        <v>179734</v>
      </c>
      <c r="K520" s="86"/>
    </row>
    <row r="521" spans="2:11" ht="11.25">
      <c r="B521" s="85"/>
      <c r="C521" s="139"/>
      <c r="D521" s="92" t="s">
        <v>184</v>
      </c>
      <c r="E521" s="92">
        <v>3.53</v>
      </c>
      <c r="F521" s="92">
        <v>3.99</v>
      </c>
      <c r="G521" s="92">
        <v>4.45</v>
      </c>
      <c r="H521" s="92">
        <v>5.12</v>
      </c>
      <c r="I521" s="92">
        <v>5.75</v>
      </c>
      <c r="J521" s="92">
        <v>7.8</v>
      </c>
      <c r="K521" s="86"/>
    </row>
    <row r="522" spans="2:11" ht="12.75">
      <c r="B522" s="85"/>
      <c r="C522" s="134" t="s">
        <v>295</v>
      </c>
      <c r="D522" s="135"/>
      <c r="E522" s="135"/>
      <c r="F522" s="135"/>
      <c r="G522" s="135"/>
      <c r="H522" s="135"/>
      <c r="I522" s="135"/>
      <c r="J522" s="136"/>
      <c r="K522" s="86"/>
    </row>
    <row r="523" spans="2:11" ht="11.25">
      <c r="B523" s="85"/>
      <c r="C523" s="137" t="s">
        <v>388</v>
      </c>
      <c r="D523" s="92" t="s">
        <v>181</v>
      </c>
      <c r="E523" s="92">
        <v>18.3</v>
      </c>
      <c r="F523" s="92">
        <v>30.7</v>
      </c>
      <c r="G523" s="92">
        <v>39.8</v>
      </c>
      <c r="H523" s="92">
        <v>41</v>
      </c>
      <c r="I523" s="92">
        <v>41</v>
      </c>
      <c r="J523" s="92" t="s">
        <v>182</v>
      </c>
      <c r="K523" s="86"/>
    </row>
    <row r="524" spans="2:11" ht="11.25">
      <c r="B524" s="85"/>
      <c r="C524" s="138"/>
      <c r="D524" s="92" t="s">
        <v>183</v>
      </c>
      <c r="E524" s="92">
        <v>15241</v>
      </c>
      <c r="F524" s="92">
        <v>28934</v>
      </c>
      <c r="G524" s="92">
        <v>41392</v>
      </c>
      <c r="H524" s="92">
        <v>43996</v>
      </c>
      <c r="I524" s="92">
        <v>45565</v>
      </c>
      <c r="J524" s="92" t="s">
        <v>182</v>
      </c>
      <c r="K524" s="86"/>
    </row>
    <row r="525" spans="2:11" ht="11.25">
      <c r="B525" s="85"/>
      <c r="C525" s="139"/>
      <c r="D525" s="92" t="s">
        <v>389</v>
      </c>
      <c r="E525" s="92"/>
      <c r="F525" s="92"/>
      <c r="G525" s="92"/>
      <c r="H525" s="92"/>
      <c r="I525" s="92"/>
      <c r="J525" s="92"/>
      <c r="K525" s="86"/>
    </row>
    <row r="526" spans="2:11" ht="11.25">
      <c r="B526" s="85"/>
      <c r="C526" s="137" t="s">
        <v>390</v>
      </c>
      <c r="D526" s="92" t="s">
        <v>181</v>
      </c>
      <c r="E526" s="92">
        <v>23.8</v>
      </c>
      <c r="F526" s="92">
        <v>41.8</v>
      </c>
      <c r="G526" s="92">
        <v>57.4</v>
      </c>
      <c r="H526" s="92">
        <v>61.6</v>
      </c>
      <c r="I526" s="92">
        <v>64.2</v>
      </c>
      <c r="J526" s="92" t="s">
        <v>182</v>
      </c>
      <c r="K526" s="86"/>
    </row>
    <row r="527" spans="2:11" ht="11.25">
      <c r="B527" s="85"/>
      <c r="C527" s="138"/>
      <c r="D527" s="92" t="s">
        <v>183</v>
      </c>
      <c r="E527" s="92">
        <v>17775</v>
      </c>
      <c r="F527" s="92">
        <v>37805</v>
      </c>
      <c r="G527" s="92">
        <v>50872</v>
      </c>
      <c r="H527" s="92">
        <v>57648</v>
      </c>
      <c r="I527" s="92">
        <v>61306</v>
      </c>
      <c r="J527" s="92" t="s">
        <v>182</v>
      </c>
      <c r="K527" s="86"/>
    </row>
    <row r="528" spans="2:11" ht="11.25">
      <c r="B528" s="85"/>
      <c r="C528" s="139"/>
      <c r="D528" s="92" t="s">
        <v>389</v>
      </c>
      <c r="E528" s="92"/>
      <c r="F528" s="92"/>
      <c r="G528" s="92"/>
      <c r="H528" s="92"/>
      <c r="I528" s="92"/>
      <c r="J528" s="92"/>
      <c r="K528" s="86"/>
    </row>
    <row r="529" spans="2:11" ht="11.25" customHeight="1">
      <c r="B529" s="85"/>
      <c r="C529" s="137" t="s">
        <v>391</v>
      </c>
      <c r="D529" s="92" t="s">
        <v>181</v>
      </c>
      <c r="E529" s="92">
        <v>24.6</v>
      </c>
      <c r="F529" s="92">
        <v>42.8</v>
      </c>
      <c r="G529" s="92">
        <v>54.9</v>
      </c>
      <c r="H529" s="92">
        <v>56.2</v>
      </c>
      <c r="I529" s="92">
        <v>62.7</v>
      </c>
      <c r="J529" s="92" t="s">
        <v>182</v>
      </c>
      <c r="K529" s="86"/>
    </row>
    <row r="530" spans="2:11" ht="11.25">
      <c r="B530" s="85"/>
      <c r="C530" s="138"/>
      <c r="D530" s="92" t="s">
        <v>183</v>
      </c>
      <c r="E530" s="92">
        <v>19806</v>
      </c>
      <c r="F530" s="92">
        <v>38130</v>
      </c>
      <c r="G530" s="92">
        <v>54510</v>
      </c>
      <c r="H530" s="92">
        <v>57376</v>
      </c>
      <c r="I530" s="92">
        <v>61881</v>
      </c>
      <c r="J530" s="92" t="s">
        <v>182</v>
      </c>
      <c r="K530" s="86"/>
    </row>
    <row r="531" spans="2:11" ht="11.25">
      <c r="B531" s="85"/>
      <c r="C531" s="139"/>
      <c r="D531" s="92" t="s">
        <v>389</v>
      </c>
      <c r="E531" s="92"/>
      <c r="F531" s="92"/>
      <c r="G531" s="92"/>
      <c r="H531" s="92"/>
      <c r="I531" s="92"/>
      <c r="J531" s="92"/>
      <c r="K531" s="86"/>
    </row>
    <row r="532" spans="2:11" ht="11.25">
      <c r="B532" s="85"/>
      <c r="C532" s="137" t="s">
        <v>392</v>
      </c>
      <c r="D532" s="92" t="s">
        <v>181</v>
      </c>
      <c r="E532" s="92">
        <v>31.5</v>
      </c>
      <c r="F532" s="92">
        <v>51.7</v>
      </c>
      <c r="G532" s="92">
        <v>68.4</v>
      </c>
      <c r="H532" s="92">
        <v>72.6</v>
      </c>
      <c r="I532" s="92">
        <v>74.9</v>
      </c>
      <c r="J532" s="92" t="s">
        <v>182</v>
      </c>
      <c r="K532" s="86"/>
    </row>
    <row r="533" spans="2:11" ht="11.25">
      <c r="B533" s="85"/>
      <c r="C533" s="138"/>
      <c r="D533" s="92" t="s">
        <v>183</v>
      </c>
      <c r="E533" s="92">
        <v>22950</v>
      </c>
      <c r="F533" s="92">
        <v>44188</v>
      </c>
      <c r="G533" s="92">
        <v>63625</v>
      </c>
      <c r="H533" s="92">
        <v>67757</v>
      </c>
      <c r="I533" s="92">
        <v>73484</v>
      </c>
      <c r="J533" s="92" t="s">
        <v>182</v>
      </c>
      <c r="K533" s="86"/>
    </row>
    <row r="534" spans="2:11" ht="11.25">
      <c r="B534" s="85"/>
      <c r="C534" s="139"/>
      <c r="D534" s="92" t="s">
        <v>389</v>
      </c>
      <c r="E534" s="92"/>
      <c r="F534" s="92"/>
      <c r="G534" s="92"/>
      <c r="H534" s="92"/>
      <c r="I534" s="92"/>
      <c r="J534" s="92"/>
      <c r="K534" s="86"/>
    </row>
    <row r="535" spans="2:11" ht="11.25" customHeight="1">
      <c r="B535" s="85"/>
      <c r="C535" s="137" t="s">
        <v>393</v>
      </c>
      <c r="D535" s="92" t="s">
        <v>181</v>
      </c>
      <c r="E535" s="92">
        <v>46.8</v>
      </c>
      <c r="F535" s="92">
        <v>79.4</v>
      </c>
      <c r="G535" s="92">
        <v>102.6</v>
      </c>
      <c r="H535" s="92">
        <v>105.6</v>
      </c>
      <c r="I535" s="92">
        <v>108.4</v>
      </c>
      <c r="J535" s="92" t="s">
        <v>182</v>
      </c>
      <c r="K535" s="86"/>
    </row>
    <row r="536" spans="2:11" ht="11.25">
      <c r="B536" s="85"/>
      <c r="C536" s="138"/>
      <c r="D536" s="92" t="s">
        <v>183</v>
      </c>
      <c r="E536" s="92">
        <v>22343</v>
      </c>
      <c r="F536" s="92">
        <v>41478</v>
      </c>
      <c r="G536" s="92">
        <v>63359</v>
      </c>
      <c r="H536" s="92">
        <v>70890</v>
      </c>
      <c r="I536" s="92">
        <v>75364</v>
      </c>
      <c r="J536" s="92"/>
      <c r="K536" s="86"/>
    </row>
    <row r="537" spans="2:11" ht="11.25">
      <c r="B537" s="85"/>
      <c r="C537" s="139"/>
      <c r="D537" s="92" t="s">
        <v>389</v>
      </c>
      <c r="E537" s="92"/>
      <c r="F537" s="92"/>
      <c r="G537" s="92"/>
      <c r="H537" s="92"/>
      <c r="I537" s="92"/>
      <c r="J537" s="92"/>
      <c r="K537" s="86"/>
    </row>
    <row r="538" spans="2:11" ht="11.25">
      <c r="B538" s="85"/>
      <c r="C538" s="137" t="s">
        <v>298</v>
      </c>
      <c r="D538" s="92" t="s">
        <v>181</v>
      </c>
      <c r="E538" s="92">
        <v>45.8</v>
      </c>
      <c r="F538" s="92">
        <v>78.4</v>
      </c>
      <c r="G538" s="92">
        <v>98.6</v>
      </c>
      <c r="H538" s="92">
        <v>105.7</v>
      </c>
      <c r="I538" s="92">
        <v>109.4</v>
      </c>
      <c r="J538" s="92" t="s">
        <v>182</v>
      </c>
      <c r="K538" s="86"/>
    </row>
    <row r="539" spans="2:11" ht="11.25">
      <c r="B539" s="85"/>
      <c r="C539" s="138"/>
      <c r="D539" s="92" t="s">
        <v>183</v>
      </c>
      <c r="E539" s="92">
        <v>26206</v>
      </c>
      <c r="F539" s="92">
        <v>51319</v>
      </c>
      <c r="G539" s="92">
        <v>65338</v>
      </c>
      <c r="H539" s="92">
        <v>73971</v>
      </c>
      <c r="I539" s="92">
        <v>74928</v>
      </c>
      <c r="J539" s="92" t="s">
        <v>182</v>
      </c>
      <c r="K539" s="86"/>
    </row>
    <row r="540" spans="2:11" ht="11.25">
      <c r="B540" s="85"/>
      <c r="C540" s="139"/>
      <c r="D540" s="92" t="s">
        <v>389</v>
      </c>
      <c r="E540" s="92"/>
      <c r="F540" s="92"/>
      <c r="G540" s="92"/>
      <c r="H540" s="92"/>
      <c r="I540" s="92"/>
      <c r="J540" s="92"/>
      <c r="K540" s="86"/>
    </row>
    <row r="541" spans="2:11" ht="11.25">
      <c r="B541" s="85"/>
      <c r="C541" s="137" t="s">
        <v>394</v>
      </c>
      <c r="D541" s="92" t="s">
        <v>181</v>
      </c>
      <c r="E541" s="92">
        <v>32.8</v>
      </c>
      <c r="F541" s="92">
        <v>48.9</v>
      </c>
      <c r="G541" s="92">
        <v>65.1</v>
      </c>
      <c r="H541" s="92">
        <v>72.7</v>
      </c>
      <c r="I541" s="92">
        <v>83.2</v>
      </c>
      <c r="J541" s="92" t="s">
        <v>182</v>
      </c>
      <c r="K541" s="86"/>
    </row>
    <row r="542" spans="2:11" ht="11.25">
      <c r="B542" s="85"/>
      <c r="C542" s="138"/>
      <c r="D542" s="92" t="s">
        <v>183</v>
      </c>
      <c r="E542" s="92">
        <v>19404</v>
      </c>
      <c r="F542" s="92">
        <v>38795</v>
      </c>
      <c r="G542" s="92">
        <v>58580</v>
      </c>
      <c r="H542" s="92">
        <v>60534</v>
      </c>
      <c r="I542" s="92">
        <v>66322</v>
      </c>
      <c r="J542" s="92" t="s">
        <v>182</v>
      </c>
      <c r="K542" s="86"/>
    </row>
    <row r="543" spans="2:11" ht="11.25">
      <c r="B543" s="85"/>
      <c r="C543" s="139"/>
      <c r="D543" s="92" t="s">
        <v>389</v>
      </c>
      <c r="E543" s="92"/>
      <c r="F543" s="92"/>
      <c r="G543" s="92"/>
      <c r="H543" s="92"/>
      <c r="I543" s="92"/>
      <c r="J543" s="92"/>
      <c r="K543" s="86"/>
    </row>
    <row r="544" spans="2:11" ht="11.25">
      <c r="B544" s="85"/>
      <c r="C544" s="137" t="s">
        <v>395</v>
      </c>
      <c r="D544" s="92" t="s">
        <v>181</v>
      </c>
      <c r="E544" s="92">
        <v>34.4</v>
      </c>
      <c r="F544" s="92">
        <v>58.5</v>
      </c>
      <c r="G544" s="92">
        <v>75</v>
      </c>
      <c r="H544" s="92">
        <v>79.5</v>
      </c>
      <c r="I544" s="92">
        <v>84.3</v>
      </c>
      <c r="J544" s="92"/>
      <c r="K544" s="86"/>
    </row>
    <row r="545" spans="2:11" ht="11.25">
      <c r="B545" s="85"/>
      <c r="C545" s="138"/>
      <c r="D545" s="92" t="s">
        <v>183</v>
      </c>
      <c r="E545" s="92">
        <v>20374</v>
      </c>
      <c r="F545" s="92">
        <v>39323</v>
      </c>
      <c r="G545" s="92">
        <v>54977</v>
      </c>
      <c r="H545" s="92">
        <v>59901</v>
      </c>
      <c r="I545" s="92">
        <v>64587</v>
      </c>
      <c r="J545" s="92"/>
      <c r="K545" s="86"/>
    </row>
    <row r="546" spans="2:11" ht="11.25">
      <c r="B546" s="85"/>
      <c r="C546" s="139"/>
      <c r="D546" s="92" t="s">
        <v>389</v>
      </c>
      <c r="E546" s="92" t="s">
        <v>182</v>
      </c>
      <c r="F546" s="92" t="s">
        <v>182</v>
      </c>
      <c r="G546" s="92" t="s">
        <v>182</v>
      </c>
      <c r="H546" s="92" t="s">
        <v>182</v>
      </c>
      <c r="I546" s="92" t="s">
        <v>182</v>
      </c>
      <c r="J546" s="92"/>
      <c r="K546" s="86"/>
    </row>
    <row r="547" spans="2:11" ht="11.25">
      <c r="B547" s="85"/>
      <c r="C547" s="137" t="s">
        <v>396</v>
      </c>
      <c r="D547" s="92" t="s">
        <v>181</v>
      </c>
      <c r="E547" s="92">
        <v>42.8</v>
      </c>
      <c r="F547" s="92">
        <v>72.8</v>
      </c>
      <c r="G547" s="92">
        <v>93.3</v>
      </c>
      <c r="H547" s="92">
        <v>98.9</v>
      </c>
      <c r="I547" s="92">
        <v>104.9</v>
      </c>
      <c r="J547" s="92"/>
      <c r="K547" s="86"/>
    </row>
    <row r="548" spans="2:11" ht="11.25">
      <c r="B548" s="85"/>
      <c r="C548" s="138"/>
      <c r="D548" s="92" t="s">
        <v>183</v>
      </c>
      <c r="E548" s="92">
        <v>29269</v>
      </c>
      <c r="F548" s="92">
        <v>56489</v>
      </c>
      <c r="G548" s="92">
        <v>79026</v>
      </c>
      <c r="H548" s="92">
        <v>86051</v>
      </c>
      <c r="I548" s="92">
        <v>92783</v>
      </c>
      <c r="J548" s="92"/>
      <c r="K548" s="86"/>
    </row>
    <row r="549" spans="2:11" ht="11.25">
      <c r="B549" s="85"/>
      <c r="C549" s="139"/>
      <c r="D549" s="92" t="s">
        <v>389</v>
      </c>
      <c r="E549" s="92" t="s">
        <v>182</v>
      </c>
      <c r="F549" s="92" t="s">
        <v>182</v>
      </c>
      <c r="G549" s="92" t="s">
        <v>182</v>
      </c>
      <c r="H549" s="92" t="s">
        <v>182</v>
      </c>
      <c r="I549" s="92" t="s">
        <v>182</v>
      </c>
      <c r="J549" s="92"/>
      <c r="K549" s="86"/>
    </row>
    <row r="550" spans="2:11" ht="11.25">
      <c r="B550" s="85"/>
      <c r="C550" s="137" t="s">
        <v>397</v>
      </c>
      <c r="D550" s="92" t="s">
        <v>181</v>
      </c>
      <c r="E550" s="92">
        <v>44.7</v>
      </c>
      <c r="F550" s="92">
        <v>76</v>
      </c>
      <c r="G550" s="92">
        <v>97.4</v>
      </c>
      <c r="H550" s="92">
        <v>103.3</v>
      </c>
      <c r="I550" s="92">
        <v>109.5</v>
      </c>
      <c r="J550" s="92"/>
      <c r="K550" s="86"/>
    </row>
    <row r="551" spans="2:11" ht="11.25">
      <c r="B551" s="85"/>
      <c r="C551" s="138"/>
      <c r="D551" s="92" t="s">
        <v>183</v>
      </c>
      <c r="E551" s="92">
        <v>30599</v>
      </c>
      <c r="F551" s="92">
        <v>59056</v>
      </c>
      <c r="G551" s="92">
        <v>82617</v>
      </c>
      <c r="H551" s="92">
        <v>89961</v>
      </c>
      <c r="I551" s="92">
        <v>96999</v>
      </c>
      <c r="J551" s="92"/>
      <c r="K551" s="86"/>
    </row>
    <row r="552" spans="2:11" ht="11.25">
      <c r="B552" s="85"/>
      <c r="C552" s="139"/>
      <c r="D552" s="92" t="s">
        <v>389</v>
      </c>
      <c r="E552" s="92" t="s">
        <v>182</v>
      </c>
      <c r="F552" s="92" t="s">
        <v>182</v>
      </c>
      <c r="G552" s="92" t="s">
        <v>182</v>
      </c>
      <c r="H552" s="92" t="s">
        <v>182</v>
      </c>
      <c r="I552" s="92" t="s">
        <v>182</v>
      </c>
      <c r="J552" s="92"/>
      <c r="K552" s="86"/>
    </row>
    <row r="553" spans="2:11" ht="11.25">
      <c r="B553" s="85"/>
      <c r="C553" s="137" t="s">
        <v>398</v>
      </c>
      <c r="D553" s="92" t="s">
        <v>181</v>
      </c>
      <c r="E553" s="92">
        <v>42.8</v>
      </c>
      <c r="F553" s="92">
        <v>72.8</v>
      </c>
      <c r="G553" s="92">
        <v>93.3</v>
      </c>
      <c r="H553" s="92">
        <v>98.9</v>
      </c>
      <c r="I553" s="92">
        <v>104.9</v>
      </c>
      <c r="J553" s="92"/>
      <c r="K553" s="86"/>
    </row>
    <row r="554" spans="2:11" ht="11.25">
      <c r="B554" s="85"/>
      <c r="C554" s="138"/>
      <c r="D554" s="92" t="s">
        <v>183</v>
      </c>
      <c r="E554" s="92">
        <v>29269</v>
      </c>
      <c r="F554" s="92">
        <v>56489</v>
      </c>
      <c r="G554" s="92">
        <v>79026</v>
      </c>
      <c r="H554" s="92">
        <v>86051</v>
      </c>
      <c r="I554" s="92">
        <v>92783</v>
      </c>
      <c r="J554" s="92"/>
      <c r="K554" s="86"/>
    </row>
    <row r="555" spans="2:11" ht="11.25">
      <c r="B555" s="85"/>
      <c r="C555" s="139"/>
      <c r="D555" s="92" t="s">
        <v>389</v>
      </c>
      <c r="E555" s="92" t="s">
        <v>182</v>
      </c>
      <c r="F555" s="92" t="s">
        <v>182</v>
      </c>
      <c r="G555" s="92" t="s">
        <v>182</v>
      </c>
      <c r="H555" s="92" t="s">
        <v>182</v>
      </c>
      <c r="I555" s="92" t="s">
        <v>182</v>
      </c>
      <c r="J555" s="92"/>
      <c r="K555" s="86"/>
    </row>
    <row r="556" spans="2:11" ht="11.25">
      <c r="B556" s="85"/>
      <c r="C556" s="137" t="s">
        <v>399</v>
      </c>
      <c r="D556" s="92" t="s">
        <v>181</v>
      </c>
      <c r="E556" s="92">
        <v>34.8</v>
      </c>
      <c r="F556" s="92">
        <v>58.1</v>
      </c>
      <c r="G556" s="92">
        <v>72.6</v>
      </c>
      <c r="H556" s="92">
        <v>77.9</v>
      </c>
      <c r="I556" s="92">
        <v>86.1</v>
      </c>
      <c r="J556" s="92"/>
      <c r="K556" s="86"/>
    </row>
    <row r="557" spans="2:11" ht="11.25">
      <c r="B557" s="85"/>
      <c r="C557" s="138" t="s">
        <v>296</v>
      </c>
      <c r="D557" s="92" t="s">
        <v>183</v>
      </c>
      <c r="E557" s="92">
        <v>24957</v>
      </c>
      <c r="F557" s="92">
        <v>48910</v>
      </c>
      <c r="G557" s="92">
        <v>63331</v>
      </c>
      <c r="H557" s="92">
        <v>69504</v>
      </c>
      <c r="I557" s="92">
        <v>77787</v>
      </c>
      <c r="J557" s="92"/>
      <c r="K557" s="86"/>
    </row>
    <row r="558" spans="2:11" ht="11.25">
      <c r="B558" s="85"/>
      <c r="C558" s="139"/>
      <c r="D558" s="92" t="s">
        <v>389</v>
      </c>
      <c r="E558" s="92"/>
      <c r="F558" s="92"/>
      <c r="G558" s="92"/>
      <c r="H558" s="92"/>
      <c r="I558" s="92"/>
      <c r="J558" s="92"/>
      <c r="K558" s="86"/>
    </row>
    <row r="559" spans="2:11" ht="11.25">
      <c r="B559" s="85"/>
      <c r="C559" s="137" t="s">
        <v>400</v>
      </c>
      <c r="D559" s="92" t="s">
        <v>181</v>
      </c>
      <c r="E559" s="92">
        <v>38.9</v>
      </c>
      <c r="F559" s="92">
        <v>73.6</v>
      </c>
      <c r="G559" s="92">
        <v>89.3</v>
      </c>
      <c r="H559" s="92">
        <v>93.4</v>
      </c>
      <c r="I559" s="92">
        <v>97.8</v>
      </c>
      <c r="J559" s="92"/>
      <c r="K559" s="86"/>
    </row>
    <row r="560" spans="2:11" ht="11.25">
      <c r="B560" s="85"/>
      <c r="C560" s="138" t="s">
        <v>297</v>
      </c>
      <c r="D560" s="92" t="s">
        <v>183</v>
      </c>
      <c r="E560" s="92">
        <v>26608</v>
      </c>
      <c r="F560" s="92">
        <v>47382</v>
      </c>
      <c r="G560" s="92">
        <v>66267</v>
      </c>
      <c r="H560" s="92">
        <v>72134</v>
      </c>
      <c r="I560" s="92">
        <v>81592</v>
      </c>
      <c r="J560" s="92"/>
      <c r="K560" s="86"/>
    </row>
    <row r="561" spans="2:11" ht="11.25">
      <c r="B561" s="85"/>
      <c r="C561" s="139" t="s">
        <v>299</v>
      </c>
      <c r="D561" s="92" t="s">
        <v>389</v>
      </c>
      <c r="E561" s="92"/>
      <c r="F561" s="92"/>
      <c r="G561" s="92"/>
      <c r="H561" s="92"/>
      <c r="I561" s="92"/>
      <c r="J561" s="92"/>
      <c r="K561" s="86"/>
    </row>
    <row r="562" spans="2:11" ht="10.5">
      <c r="B562" s="95"/>
      <c r="C562" s="96"/>
      <c r="D562" s="96"/>
      <c r="E562" s="96"/>
      <c r="F562" s="96"/>
      <c r="G562" s="96"/>
      <c r="H562" s="96"/>
      <c r="I562" s="96"/>
      <c r="J562" s="96"/>
      <c r="K562" s="97"/>
    </row>
    <row r="563" spans="2:11" ht="11.25" thickBot="1">
      <c r="B563" s="98"/>
      <c r="C563" s="99"/>
      <c r="D563" s="99"/>
      <c r="E563" s="99"/>
      <c r="F563" s="99"/>
      <c r="G563" s="99"/>
      <c r="H563" s="99"/>
      <c r="I563" s="99"/>
      <c r="J563" s="99"/>
      <c r="K563" s="100"/>
    </row>
  </sheetData>
  <sheetProtection/>
  <mergeCells count="194">
    <mergeCell ref="C335:C337"/>
    <mergeCell ref="C315:C317"/>
    <mergeCell ref="C338:C340"/>
    <mergeCell ref="C341:C343"/>
    <mergeCell ref="C344:C346"/>
    <mergeCell ref="C347:C349"/>
    <mergeCell ref="C318:C319"/>
    <mergeCell ref="C323:C325"/>
    <mergeCell ref="C326:C328"/>
    <mergeCell ref="C329:C331"/>
    <mergeCell ref="C332:C334"/>
    <mergeCell ref="C294:C296"/>
    <mergeCell ref="C297:C299"/>
    <mergeCell ref="C300:C302"/>
    <mergeCell ref="C306:C308"/>
    <mergeCell ref="C423:C425"/>
    <mergeCell ref="C414:C416"/>
    <mergeCell ref="C417:C419"/>
    <mergeCell ref="C420:C422"/>
    <mergeCell ref="C309:C311"/>
    <mergeCell ref="C312:C314"/>
    <mergeCell ref="C441:C443"/>
    <mergeCell ref="C444:C446"/>
    <mergeCell ref="C447:C449"/>
    <mergeCell ref="C450:C452"/>
    <mergeCell ref="C282:C284"/>
    <mergeCell ref="C285:C287"/>
    <mergeCell ref="C288:C290"/>
    <mergeCell ref="C402:C404"/>
    <mergeCell ref="C372:C374"/>
    <mergeCell ref="C291:C293"/>
    <mergeCell ref="C239:C241"/>
    <mergeCell ref="C480:C482"/>
    <mergeCell ref="C465:C467"/>
    <mergeCell ref="C468:C470"/>
    <mergeCell ref="C435:C437"/>
    <mergeCell ref="C438:C440"/>
    <mergeCell ref="C260:C262"/>
    <mergeCell ref="C263:C265"/>
    <mergeCell ref="C474:C476"/>
    <mergeCell ref="C477:C479"/>
    <mergeCell ref="C218:C220"/>
    <mergeCell ref="C483:C485"/>
    <mergeCell ref="C453:C455"/>
    <mergeCell ref="C456:C458"/>
    <mergeCell ref="C459:C461"/>
    <mergeCell ref="C462:C464"/>
    <mergeCell ref="C227:C229"/>
    <mergeCell ref="C230:C232"/>
    <mergeCell ref="C233:C235"/>
    <mergeCell ref="C236:C238"/>
    <mergeCell ref="C191:C193"/>
    <mergeCell ref="C194:C196"/>
    <mergeCell ref="C197:C199"/>
    <mergeCell ref="C206:C208"/>
    <mergeCell ref="C212:C214"/>
    <mergeCell ref="C215:C217"/>
    <mergeCell ref="C61:C63"/>
    <mergeCell ref="C70:C72"/>
    <mergeCell ref="C128:C130"/>
    <mergeCell ref="C137:C139"/>
    <mergeCell ref="C140:C142"/>
    <mergeCell ref="C158:C160"/>
    <mergeCell ref="C155:C157"/>
    <mergeCell ref="C538:C540"/>
    <mergeCell ref="C510:C512"/>
    <mergeCell ref="C513:C515"/>
    <mergeCell ref="C516:C518"/>
    <mergeCell ref="C522:J522"/>
    <mergeCell ref="C64:C66"/>
    <mergeCell ref="C67:C69"/>
    <mergeCell ref="C79:C81"/>
    <mergeCell ref="C161:C163"/>
    <mergeCell ref="C176:C178"/>
    <mergeCell ref="C4:J4"/>
    <mergeCell ref="C3:J3"/>
    <mergeCell ref="D10:F10"/>
    <mergeCell ref="C471:C473"/>
    <mergeCell ref="C489:C491"/>
    <mergeCell ref="C28:C30"/>
    <mergeCell ref="C31:C33"/>
    <mergeCell ref="C34:C36"/>
    <mergeCell ref="C55:C57"/>
    <mergeCell ref="C58:C60"/>
    <mergeCell ref="C492:C494"/>
    <mergeCell ref="C498:C500"/>
    <mergeCell ref="C501:C503"/>
    <mergeCell ref="C504:C506"/>
    <mergeCell ref="C486:C488"/>
    <mergeCell ref="C495:C497"/>
    <mergeCell ref="C429:C431"/>
    <mergeCell ref="C432:C434"/>
    <mergeCell ref="C390:C392"/>
    <mergeCell ref="C393:C395"/>
    <mergeCell ref="C396:C398"/>
    <mergeCell ref="C399:C401"/>
    <mergeCell ref="C408:C410"/>
    <mergeCell ref="C411:C413"/>
    <mergeCell ref="C405:C407"/>
    <mergeCell ref="C356:J356"/>
    <mergeCell ref="C360:C362"/>
    <mergeCell ref="C363:C365"/>
    <mergeCell ref="C366:C368"/>
    <mergeCell ref="C357:C359"/>
    <mergeCell ref="C426:C428"/>
    <mergeCell ref="C529:C531"/>
    <mergeCell ref="C532:C534"/>
    <mergeCell ref="C507:C509"/>
    <mergeCell ref="C519:C521"/>
    <mergeCell ref="C523:C525"/>
    <mergeCell ref="C375:C377"/>
    <mergeCell ref="C378:C380"/>
    <mergeCell ref="C381:C383"/>
    <mergeCell ref="C384:C386"/>
    <mergeCell ref="C387:C389"/>
    <mergeCell ref="C245:C247"/>
    <mergeCell ref="C248:C250"/>
    <mergeCell ref="C369:C371"/>
    <mergeCell ref="C553:C555"/>
    <mergeCell ref="C556:C558"/>
    <mergeCell ref="C559:C561"/>
    <mergeCell ref="C526:C528"/>
    <mergeCell ref="C535:C537"/>
    <mergeCell ref="C547:C549"/>
    <mergeCell ref="C550:C552"/>
    <mergeCell ref="C541:C543"/>
    <mergeCell ref="C544:C546"/>
    <mergeCell ref="C350:C352"/>
    <mergeCell ref="C353:C355"/>
    <mergeCell ref="C6:J6"/>
    <mergeCell ref="C7:J7"/>
    <mergeCell ref="C303:C305"/>
    <mergeCell ref="C320:C322"/>
    <mergeCell ref="C266:C269"/>
    <mergeCell ref="C254:C256"/>
    <mergeCell ref="C279:C281"/>
    <mergeCell ref="C209:C211"/>
    <mergeCell ref="C221:C223"/>
    <mergeCell ref="C224:C226"/>
    <mergeCell ref="C251:C253"/>
    <mergeCell ref="C270:C272"/>
    <mergeCell ref="C273:C275"/>
    <mergeCell ref="C276:C278"/>
    <mergeCell ref="C257:C259"/>
    <mergeCell ref="C242:C244"/>
    <mergeCell ref="C125:C127"/>
    <mergeCell ref="C185:C187"/>
    <mergeCell ref="C200:C202"/>
    <mergeCell ref="C203:C205"/>
    <mergeCell ref="C164:C166"/>
    <mergeCell ref="C167:C169"/>
    <mergeCell ref="C170:C172"/>
    <mergeCell ref="C179:C181"/>
    <mergeCell ref="C182:C184"/>
    <mergeCell ref="C188:C190"/>
    <mergeCell ref="C173:C175"/>
    <mergeCell ref="C131:C133"/>
    <mergeCell ref="C134:C136"/>
    <mergeCell ref="C143:C145"/>
    <mergeCell ref="C146:C148"/>
    <mergeCell ref="C149:C151"/>
    <mergeCell ref="C152:C154"/>
    <mergeCell ref="C107:C109"/>
    <mergeCell ref="C110:C112"/>
    <mergeCell ref="C113:C115"/>
    <mergeCell ref="C116:C118"/>
    <mergeCell ref="C119:C121"/>
    <mergeCell ref="C122:C124"/>
    <mergeCell ref="C82:C84"/>
    <mergeCell ref="C85:C87"/>
    <mergeCell ref="C97:J97"/>
    <mergeCell ref="C98:C100"/>
    <mergeCell ref="C101:C103"/>
    <mergeCell ref="C104:C106"/>
    <mergeCell ref="C88:C90"/>
    <mergeCell ref="C91:C93"/>
    <mergeCell ref="C94:C96"/>
    <mergeCell ref="C5:I5"/>
    <mergeCell ref="C22:C24"/>
    <mergeCell ref="C73:C75"/>
    <mergeCell ref="C76:C78"/>
    <mergeCell ref="C37:C39"/>
    <mergeCell ref="C40:C42"/>
    <mergeCell ref="C43:C45"/>
    <mergeCell ref="C46:C48"/>
    <mergeCell ref="C49:C51"/>
    <mergeCell ref="C52:C54"/>
    <mergeCell ref="C25:C27"/>
    <mergeCell ref="C12:C13"/>
    <mergeCell ref="D12:D13"/>
    <mergeCell ref="E12:J12"/>
    <mergeCell ref="C15:J15"/>
    <mergeCell ref="C16:C18"/>
    <mergeCell ref="C19:C21"/>
  </mergeCells>
  <hyperlinks>
    <hyperlink ref="C9" location="Лист14!A15" display="Легковые автомобили"/>
    <hyperlink ref="C10" location="Лист14!A97" display="Грузовые автомобили"/>
    <hyperlink ref="D9" location="Лист14!A356" display="Автобусы"/>
    <hyperlink ref="D10:E10" location="Лист14!A522" display="Прицепы и полуприцепы"/>
    <hyperlink ref="M4" location="'Калькуляция машино-часа'!A1" display="Калькуляция стоимости 1 часа использования"/>
    <hyperlink ref="M5" location="'Себестоимость 1 машино-часа'!A1" display="Расчет  себестоимости 1 часа использования"/>
    <hyperlink ref="M6" location="'ЗП водителей'!A1" display="Расчет затрат на заработную плату водителей"/>
    <hyperlink ref="M7" location="амортизация!A1" display="Расчет амортизационных отчислений"/>
    <hyperlink ref="M8" location="'расчет % ОПР'!A1" display="Расчет процента общепроизводственных расходов"/>
    <hyperlink ref="M9" location="'расчет % ОХР'!A1" display="Расчет процента общехозяйственных расходов"/>
    <hyperlink ref="M11" location="'Калькуляция 1 км'!A1" display="Калькуляция стоимости 1 км пробега (с топливом)"/>
    <hyperlink ref="M12" location="'Калькуляция 1 км (без топлива)'!A1" display="Калькуляция стоимости 1 км пробега (без топлива)"/>
    <hyperlink ref="M13" location="'Себестоимость 1 км'!A1" display="Расчет себестоимости 1 часа использования"/>
    <hyperlink ref="M14" location="техобслуживание!A1" display="Расчет затрат на техническое обслуживание на 1 км пробега автотранспорта"/>
    <hyperlink ref="M15" location="топливо!A1" display="Расчет затрат на топливо на 1 км пробега автотранспорта"/>
    <hyperlink ref="M16" location="'Затраты на восстановление шин'!A1" display="Расчет  затрат на восстановление шин на 1 км пробега автотранспорта"/>
    <hyperlink ref="M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M20" location="'группы автотранспорта'!A1" display="Группы автотранспорта"/>
  </hyperlinks>
  <printOptions/>
  <pageMargins left="0.5905511811023622" right="0.5905511811023622" top="0.3543307086614173" bottom="0.3543307086614173" header="0" footer="0"/>
  <pageSetup horizontalDpi="300" verticalDpi="300" orientation="landscape" paperSize="9" scale="83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7" manualBreakCount="7">
    <brk id="181" min="1" max="10" man="1"/>
    <brk id="241" min="1" max="10" man="1"/>
    <brk id="355" min="1" max="10" man="1"/>
    <brk id="416" min="1" max="10" man="1"/>
    <brk id="476" min="1" max="10" man="1"/>
    <brk id="521" min="1" max="10" man="1"/>
    <brk id="563" min="1" max="49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S5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79.140625" style="1" customWidth="1"/>
    <col min="5" max="5" width="3.140625" style="1" customWidth="1"/>
    <col min="6" max="6" width="9.140625" style="1" customWidth="1"/>
    <col min="7" max="7" width="73.28125" style="1" customWidth="1"/>
    <col min="8" max="16384" width="9.140625" style="1" customWidth="1"/>
  </cols>
  <sheetData>
    <row r="1" spans="1:2" ht="11.25" thickBot="1">
      <c r="A1" s="1"/>
      <c r="B1" s="2" t="s">
        <v>0</v>
      </c>
    </row>
    <row r="2" spans="2:5" ht="10.5">
      <c r="B2" s="4"/>
      <c r="C2" s="5"/>
      <c r="D2" s="5"/>
      <c r="E2" s="6"/>
    </row>
    <row r="3" spans="2:5" ht="14.25">
      <c r="B3" s="7"/>
      <c r="C3" s="143" t="s">
        <v>410</v>
      </c>
      <c r="D3" s="143"/>
      <c r="E3" s="8"/>
    </row>
    <row r="4" spans="2:7" ht="15">
      <c r="B4" s="7"/>
      <c r="C4" s="10"/>
      <c r="D4" s="10"/>
      <c r="E4" s="8"/>
      <c r="G4" s="103" t="s">
        <v>439</v>
      </c>
    </row>
    <row r="5" spans="2:7" ht="15">
      <c r="B5" s="7"/>
      <c r="C5" s="12" t="s">
        <v>1</v>
      </c>
      <c r="D5" s="12" t="s">
        <v>407</v>
      </c>
      <c r="E5" s="8"/>
      <c r="G5" s="103" t="s">
        <v>440</v>
      </c>
    </row>
    <row r="6" spans="2:7" ht="16.5" customHeight="1">
      <c r="B6" s="7"/>
      <c r="C6" s="112" t="s">
        <v>408</v>
      </c>
      <c r="D6" s="114"/>
      <c r="E6" s="8"/>
      <c r="F6" s="77"/>
      <c r="G6" s="103" t="s">
        <v>441</v>
      </c>
    </row>
    <row r="7" spans="2:7" ht="16.5" customHeight="1">
      <c r="B7" s="7"/>
      <c r="C7" s="14">
        <v>1</v>
      </c>
      <c r="D7" s="43" t="s">
        <v>411</v>
      </c>
      <c r="E7" s="8"/>
      <c r="F7" s="77"/>
      <c r="G7" s="103" t="s">
        <v>442</v>
      </c>
    </row>
    <row r="8" spans="2:7" ht="16.5" customHeight="1">
      <c r="B8" s="7"/>
      <c r="C8" s="14">
        <v>2</v>
      </c>
      <c r="D8" s="43" t="s">
        <v>412</v>
      </c>
      <c r="E8" s="8"/>
      <c r="F8" s="77"/>
      <c r="G8" s="103" t="s">
        <v>99</v>
      </c>
    </row>
    <row r="9" spans="2:7" ht="16.5" customHeight="1">
      <c r="B9" s="7"/>
      <c r="C9" s="14">
        <v>3</v>
      </c>
      <c r="D9" s="43" t="s">
        <v>413</v>
      </c>
      <c r="E9" s="8"/>
      <c r="F9" s="77"/>
      <c r="G9" s="103" t="s">
        <v>115</v>
      </c>
    </row>
    <row r="10" spans="2:6" ht="16.5" customHeight="1">
      <c r="B10" s="7"/>
      <c r="C10" s="14">
        <v>4</v>
      </c>
      <c r="D10" s="43" t="s">
        <v>414</v>
      </c>
      <c r="E10" s="8"/>
      <c r="F10" s="77"/>
    </row>
    <row r="11" spans="2:7" ht="16.5" customHeight="1">
      <c r="B11" s="7"/>
      <c r="C11" s="14">
        <v>5</v>
      </c>
      <c r="D11" s="43" t="s">
        <v>415</v>
      </c>
      <c r="E11" s="8"/>
      <c r="F11" s="77"/>
      <c r="G11" s="103" t="s">
        <v>443</v>
      </c>
    </row>
    <row r="12" spans="2:7" ht="16.5" customHeight="1">
      <c r="B12" s="7"/>
      <c r="C12" s="112" t="s">
        <v>409</v>
      </c>
      <c r="D12" s="114"/>
      <c r="E12" s="8"/>
      <c r="F12" s="77"/>
      <c r="G12" s="103" t="s">
        <v>444</v>
      </c>
    </row>
    <row r="13" spans="2:7" ht="16.5" customHeight="1">
      <c r="B13" s="7"/>
      <c r="C13" s="14">
        <v>6</v>
      </c>
      <c r="D13" s="43" t="s">
        <v>416</v>
      </c>
      <c r="E13" s="8"/>
      <c r="F13" s="77"/>
      <c r="G13" s="103" t="s">
        <v>446</v>
      </c>
    </row>
    <row r="14" spans="2:7" ht="16.5" customHeight="1">
      <c r="B14" s="7"/>
      <c r="C14" s="14">
        <v>7</v>
      </c>
      <c r="D14" s="43" t="s">
        <v>417</v>
      </c>
      <c r="E14" s="8"/>
      <c r="F14" s="77"/>
      <c r="G14" s="103" t="s">
        <v>447</v>
      </c>
    </row>
    <row r="15" spans="2:7" ht="16.5" customHeight="1">
      <c r="B15" s="7"/>
      <c r="C15" s="14">
        <v>8</v>
      </c>
      <c r="D15" s="43" t="s">
        <v>418</v>
      </c>
      <c r="E15" s="8"/>
      <c r="F15" s="77"/>
      <c r="G15" s="103" t="s">
        <v>448</v>
      </c>
    </row>
    <row r="16" spans="2:7" ht="16.5" customHeight="1">
      <c r="B16" s="7"/>
      <c r="C16" s="14">
        <v>9</v>
      </c>
      <c r="D16" s="43" t="s">
        <v>419</v>
      </c>
      <c r="E16" s="8"/>
      <c r="F16" s="77"/>
      <c r="G16" s="103" t="s">
        <v>449</v>
      </c>
    </row>
    <row r="17" spans="2:6" ht="16.5" customHeight="1">
      <c r="B17" s="7"/>
      <c r="C17" s="14">
        <v>10</v>
      </c>
      <c r="D17" s="43" t="s">
        <v>420</v>
      </c>
      <c r="E17" s="8"/>
      <c r="F17" s="77"/>
    </row>
    <row r="18" spans="2:6" ht="16.5" customHeight="1">
      <c r="B18" s="7"/>
      <c r="C18" s="14">
        <v>11</v>
      </c>
      <c r="D18" s="43" t="s">
        <v>421</v>
      </c>
      <c r="E18" s="8"/>
      <c r="F18" s="77"/>
    </row>
    <row r="19" spans="2:7" ht="16.5" customHeight="1">
      <c r="B19" s="7"/>
      <c r="C19" s="14">
        <v>12</v>
      </c>
      <c r="D19" s="43" t="s">
        <v>422</v>
      </c>
      <c r="E19" s="8"/>
      <c r="F19" s="77"/>
      <c r="G19" s="103" t="s">
        <v>450</v>
      </c>
    </row>
    <row r="20" spans="2:7" ht="16.5" customHeight="1">
      <c r="B20" s="7"/>
      <c r="C20" s="14">
        <v>13</v>
      </c>
      <c r="D20" s="43" t="s">
        <v>423</v>
      </c>
      <c r="E20" s="8"/>
      <c r="F20" s="77"/>
      <c r="G20" s="103" t="s">
        <v>410</v>
      </c>
    </row>
    <row r="21" spans="2:6" ht="16.5" customHeight="1">
      <c r="B21" s="7"/>
      <c r="C21" s="14">
        <v>14</v>
      </c>
      <c r="D21" s="43" t="s">
        <v>424</v>
      </c>
      <c r="E21" s="8"/>
      <c r="F21" s="77"/>
    </row>
    <row r="22" spans="2:6" ht="16.5" customHeight="1">
      <c r="B22" s="7"/>
      <c r="C22" s="14">
        <v>15</v>
      </c>
      <c r="D22" s="43" t="s">
        <v>425</v>
      </c>
      <c r="E22" s="8"/>
      <c r="F22" s="77"/>
    </row>
    <row r="23" spans="2:6" ht="16.5" customHeight="1">
      <c r="B23" s="7"/>
      <c r="C23" s="14">
        <v>16</v>
      </c>
      <c r="D23" s="43" t="s">
        <v>426</v>
      </c>
      <c r="E23" s="8"/>
      <c r="F23" s="77"/>
    </row>
    <row r="24" spans="2:6" ht="16.5" customHeight="1">
      <c r="B24" s="7"/>
      <c r="C24" s="14">
        <v>17</v>
      </c>
      <c r="D24" s="43" t="s">
        <v>427</v>
      </c>
      <c r="E24" s="8"/>
      <c r="F24" s="77"/>
    </row>
    <row r="25" spans="2:6" ht="16.5" customHeight="1">
      <c r="B25" s="7"/>
      <c r="C25" s="14">
        <v>18</v>
      </c>
      <c r="D25" s="43" t="s">
        <v>428</v>
      </c>
      <c r="E25" s="8"/>
      <c r="F25" s="77"/>
    </row>
    <row r="26" spans="2:6" ht="16.5" customHeight="1">
      <c r="B26" s="7"/>
      <c r="C26" s="14">
        <v>19</v>
      </c>
      <c r="D26" s="43" t="s">
        <v>429</v>
      </c>
      <c r="E26" s="8"/>
      <c r="F26" s="77"/>
    </row>
    <row r="27" spans="2:6" ht="16.5" customHeight="1">
      <c r="B27" s="7"/>
      <c r="C27" s="14">
        <v>20</v>
      </c>
      <c r="D27" s="43" t="s">
        <v>430</v>
      </c>
      <c r="E27" s="8"/>
      <c r="F27" s="77"/>
    </row>
    <row r="28" spans="2:6" ht="16.5" customHeight="1">
      <c r="B28" s="7"/>
      <c r="C28" s="14">
        <v>21</v>
      </c>
      <c r="D28" s="43" t="s">
        <v>431</v>
      </c>
      <c r="E28" s="8"/>
      <c r="F28" s="77"/>
    </row>
    <row r="29" spans="2:6" ht="16.5" customHeight="1">
      <c r="B29" s="7"/>
      <c r="C29" s="14">
        <v>22</v>
      </c>
      <c r="D29" s="43" t="s">
        <v>432</v>
      </c>
      <c r="E29" s="8"/>
      <c r="F29" s="77"/>
    </row>
    <row r="30" spans="2:6" ht="16.5" customHeight="1">
      <c r="B30" s="7"/>
      <c r="C30" s="14">
        <v>23</v>
      </c>
      <c r="D30" s="43" t="s">
        <v>433</v>
      </c>
      <c r="E30" s="8"/>
      <c r="F30" s="77"/>
    </row>
    <row r="31" spans="2:6" ht="16.5" customHeight="1">
      <c r="B31" s="7"/>
      <c r="C31" s="14">
        <v>24</v>
      </c>
      <c r="D31" s="43" t="s">
        <v>434</v>
      </c>
      <c r="E31" s="8"/>
      <c r="F31" s="77"/>
    </row>
    <row r="32" spans="2:6" ht="16.5" customHeight="1">
      <c r="B32" s="7"/>
      <c r="C32" s="14">
        <v>25</v>
      </c>
      <c r="D32" s="43" t="s">
        <v>435</v>
      </c>
      <c r="E32" s="8"/>
      <c r="F32" s="77"/>
    </row>
    <row r="33" spans="2:6" ht="16.5" customHeight="1">
      <c r="B33" s="7"/>
      <c r="C33" s="14">
        <v>26</v>
      </c>
      <c r="D33" s="43" t="s">
        <v>436</v>
      </c>
      <c r="E33" s="8"/>
      <c r="F33" s="77"/>
    </row>
    <row r="34" spans="2:6" ht="16.5" customHeight="1">
      <c r="B34" s="7"/>
      <c r="C34" s="14">
        <v>27</v>
      </c>
      <c r="D34" s="43" t="s">
        <v>437</v>
      </c>
      <c r="E34" s="8"/>
      <c r="F34" s="77"/>
    </row>
    <row r="35" spans="2:5" ht="16.5" customHeight="1">
      <c r="B35" s="7"/>
      <c r="C35" s="14">
        <v>28</v>
      </c>
      <c r="D35" s="43" t="s">
        <v>438</v>
      </c>
      <c r="E35" s="8"/>
    </row>
    <row r="36" spans="2:45" ht="11.25" thickBot="1">
      <c r="B36" s="25"/>
      <c r="C36" s="26"/>
      <c r="D36" s="26"/>
      <c r="E36" s="27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7:45" ht="10.5">
      <c r="G37" s="23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  <c r="AJ37" s="29"/>
      <c r="AK37" s="29"/>
      <c r="AL37" s="29"/>
      <c r="AM37" s="29"/>
      <c r="AN37" s="29"/>
      <c r="AO37" s="29"/>
      <c r="AP37" s="29"/>
      <c r="AQ37" s="29"/>
      <c r="AR37" s="29"/>
      <c r="AS37" s="29"/>
    </row>
    <row r="38" spans="9:45" ht="10.5">
      <c r="I38" s="24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0"/>
      <c r="AE38" s="30"/>
      <c r="AF38" s="30"/>
      <c r="AG38" s="30"/>
      <c r="AH38" s="30"/>
      <c r="AI38" s="30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3:45" ht="10.5">
      <c r="C39" s="31"/>
      <c r="D39" s="31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30"/>
      <c r="AF39" s="30"/>
      <c r="AG39" s="30"/>
      <c r="AH39" s="30"/>
      <c r="AI39" s="30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3:45" ht="10.5">
      <c r="C40" s="31"/>
      <c r="D40" s="31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0"/>
      <c r="AE40" s="30"/>
      <c r="AF40" s="30"/>
      <c r="AG40" s="30"/>
      <c r="AH40" s="30"/>
      <c r="AI40" s="30"/>
      <c r="AJ40" s="29"/>
      <c r="AK40" s="29"/>
      <c r="AL40" s="29"/>
      <c r="AM40" s="29"/>
      <c r="AN40" s="29"/>
      <c r="AO40" s="29"/>
      <c r="AP40" s="29"/>
      <c r="AQ40" s="29"/>
      <c r="AR40" s="29"/>
      <c r="AS40" s="29"/>
    </row>
    <row r="41" spans="3:45" ht="10.5">
      <c r="C41" s="31"/>
      <c r="D41" s="31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  <c r="AE41" s="30"/>
      <c r="AF41" s="30"/>
      <c r="AG41" s="30"/>
      <c r="AH41" s="30"/>
      <c r="AI41" s="30"/>
      <c r="AJ41" s="29"/>
      <c r="AK41" s="29"/>
      <c r="AL41" s="29"/>
      <c r="AM41" s="29"/>
      <c r="AN41" s="29"/>
      <c r="AO41" s="29"/>
      <c r="AP41" s="29"/>
      <c r="AQ41" s="29"/>
      <c r="AR41" s="29"/>
      <c r="AS41" s="29"/>
    </row>
    <row r="42" spans="3:45" ht="10.5">
      <c r="C42" s="31"/>
      <c r="D42" s="31"/>
      <c r="I42" s="2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0"/>
      <c r="AE42" s="30"/>
      <c r="AF42" s="30"/>
      <c r="AG42" s="30"/>
      <c r="AH42" s="30"/>
      <c r="AI42" s="30"/>
      <c r="AJ42" s="29"/>
      <c r="AK42" s="29"/>
      <c r="AL42" s="29"/>
      <c r="AM42" s="29"/>
      <c r="AN42" s="29"/>
      <c r="AO42" s="29"/>
      <c r="AP42" s="29"/>
      <c r="AQ42" s="29"/>
      <c r="AR42" s="29"/>
      <c r="AS42" s="29"/>
    </row>
    <row r="43" spans="3:45" ht="10.5">
      <c r="C43" s="31"/>
      <c r="D43" s="31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0"/>
      <c r="AE43" s="30"/>
      <c r="AF43" s="30"/>
      <c r="AG43" s="30"/>
      <c r="AH43" s="30"/>
      <c r="AI43" s="30"/>
      <c r="AJ43" s="29"/>
      <c r="AK43" s="29"/>
      <c r="AL43" s="29"/>
      <c r="AM43" s="29"/>
      <c r="AN43" s="29"/>
      <c r="AO43" s="29"/>
      <c r="AP43" s="29"/>
      <c r="AQ43" s="29"/>
      <c r="AR43" s="29"/>
      <c r="AS43" s="29"/>
    </row>
    <row r="44" spans="3:45" ht="10.5">
      <c r="C44" s="31"/>
      <c r="D44" s="31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0"/>
      <c r="AE44" s="30"/>
      <c r="AF44" s="30"/>
      <c r="AG44" s="30"/>
      <c r="AH44" s="30"/>
      <c r="AI44" s="30"/>
      <c r="AJ44" s="29"/>
      <c r="AK44" s="29"/>
      <c r="AL44" s="29"/>
      <c r="AM44" s="29"/>
      <c r="AN44" s="29"/>
      <c r="AO44" s="29"/>
      <c r="AP44" s="29"/>
      <c r="AQ44" s="29"/>
      <c r="AR44" s="29"/>
      <c r="AS44" s="29"/>
    </row>
    <row r="45" spans="3:45" ht="10.5">
      <c r="C45" s="31"/>
      <c r="D45" s="31"/>
      <c r="I45" s="28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</row>
    <row r="46" spans="3:45" ht="10.5">
      <c r="C46" s="31"/>
      <c r="D46" s="31"/>
      <c r="I46" s="28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</row>
    <row r="47" spans="3:45" ht="10.5">
      <c r="C47" s="31"/>
      <c r="D47" s="31"/>
      <c r="I47" s="28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</row>
    <row r="48" spans="3:45" ht="10.5">
      <c r="C48" s="31"/>
      <c r="D48" s="31"/>
      <c r="I48" s="28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</row>
    <row r="49" spans="3:45" ht="10.5">
      <c r="C49" s="31"/>
      <c r="D49" s="31"/>
      <c r="I49" s="28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</row>
    <row r="50" spans="3:45" ht="10.5">
      <c r="C50" s="31"/>
      <c r="D50" s="31"/>
      <c r="I50" s="28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</row>
    <row r="51" spans="3:4" ht="10.5">
      <c r="C51" s="31"/>
      <c r="D51" s="31"/>
    </row>
  </sheetData>
  <sheetProtection/>
  <mergeCells count="3">
    <mergeCell ref="C6:D6"/>
    <mergeCell ref="C12:D12"/>
    <mergeCell ref="C3:D3"/>
  </mergeCells>
  <hyperlinks>
    <hyperlink ref="G4" location="'Калькуляция машино-часа'!A1" display="Калькуляция стоимости 1 часа использования"/>
    <hyperlink ref="G5" location="'Себестоимость 1 машино-часа'!A1" display="Расчет  себестоимости 1 часа использования"/>
    <hyperlink ref="G6" location="'ЗП водителей'!A1" display="Расчет затрат на заработную плату водителей"/>
    <hyperlink ref="G7" location="амортизация!A1" display="Расчет амортизационных отчислений"/>
    <hyperlink ref="G8" location="'расчет % ОПР'!A1" display="Расчет процента общепроизводственных расходов"/>
    <hyperlink ref="G9" location="'расчет % ОХР'!A1" display="Расчет процента общехозяйственных расходов"/>
    <hyperlink ref="G11" location="'Калькуляция 1 км'!A1" display="Калькуляция стоимости 1 км пробега (с топливом)"/>
    <hyperlink ref="G12" location="'Калькуляция 1 км (без топлива)'!A1" display="Калькуляция стоимости 1 км пробега (без топлива)"/>
    <hyperlink ref="G13" location="'Себестоимость 1 км'!A1" display="Расчет себестоимости 1 часа использования"/>
    <hyperlink ref="G14" location="техобслуживание!A1" display="Расчет затрат на техническое обслуживание на 1 км пробега автотранспорта"/>
    <hyperlink ref="G15" location="топливо!A1" display="Расчет затрат на топливо на 1 км пробега автотранспорта"/>
    <hyperlink ref="G16" location="'Затраты на восстановление шин'!A1" display="Расчет  затрат на восстановление шин на 1 км пробега автотранспорта"/>
    <hyperlink ref="G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G20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scale="97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5" min="1" max="6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D48"/>
  <sheetViews>
    <sheetView zoomScaleSheetLayoutView="110" zoomScalePageLayoutView="0" workbookViewId="0" topLeftCell="A1">
      <selection activeCell="R6" sqref="R6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8.28125" style="1" customWidth="1"/>
    <col min="5" max="5" width="15.7109375" style="1" bestFit="1" customWidth="1"/>
    <col min="6" max="6" width="8.7109375" style="1" customWidth="1"/>
    <col min="7" max="7" width="10.421875" style="1" customWidth="1"/>
    <col min="8" max="8" width="9.7109375" style="1" customWidth="1"/>
    <col min="9" max="9" width="11.57421875" style="1" customWidth="1"/>
    <col min="10" max="10" width="11.140625" style="1" customWidth="1"/>
    <col min="11" max="11" width="9.421875" style="1" customWidth="1"/>
    <col min="12" max="12" width="8.00390625" style="1" bestFit="1" customWidth="1"/>
    <col min="13" max="13" width="8.00390625" style="1" customWidth="1"/>
    <col min="14" max="14" width="9.421875" style="1" customWidth="1"/>
    <col min="15" max="15" width="10.7109375" style="1" customWidth="1"/>
    <col min="16" max="16" width="2.140625" style="1" customWidth="1"/>
    <col min="17" max="17" width="2.8515625" style="1" customWidth="1"/>
    <col min="18" max="18" width="73.28125" style="1" customWidth="1"/>
    <col min="19" max="16384" width="9.140625" style="1" customWidth="1"/>
  </cols>
  <sheetData>
    <row r="1" spans="1:2" ht="11.25" thickBot="1">
      <c r="A1" s="1"/>
      <c r="B1" s="2" t="s">
        <v>0</v>
      </c>
    </row>
    <row r="2" spans="2:16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</row>
    <row r="4" spans="2:18" ht="15">
      <c r="B4" s="7"/>
      <c r="C4" s="108" t="s">
        <v>32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8"/>
      <c r="R4" s="103" t="s">
        <v>439</v>
      </c>
    </row>
    <row r="5" spans="2:18" ht="15">
      <c r="B5" s="7"/>
      <c r="C5" s="109" t="s">
        <v>33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8"/>
      <c r="R5" s="103" t="s">
        <v>440</v>
      </c>
    </row>
    <row r="6" spans="2:18" ht="15">
      <c r="B6" s="7"/>
      <c r="C6" s="118" t="str">
        <f>'Калькуляция машино-часа'!C10:I10</f>
        <v>Грузопассажирский автомобиль (грузоподъемность 2 т и более, вместимость 5 пассажиро-мест и более)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8"/>
      <c r="R6" s="103" t="s">
        <v>441</v>
      </c>
    </row>
    <row r="7" spans="2:18" ht="15"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R7" s="103" t="s">
        <v>442</v>
      </c>
    </row>
    <row r="8" spans="2:18" ht="15"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R8" s="103" t="s">
        <v>99</v>
      </c>
    </row>
    <row r="9" spans="2:18" ht="51" customHeight="1">
      <c r="B9" s="7"/>
      <c r="C9" s="44" t="s">
        <v>1</v>
      </c>
      <c r="D9" s="44" t="s">
        <v>34</v>
      </c>
      <c r="E9" s="44" t="s">
        <v>35</v>
      </c>
      <c r="F9" s="44" t="s">
        <v>36</v>
      </c>
      <c r="G9" s="44" t="s">
        <v>38</v>
      </c>
      <c r="H9" s="44" t="s">
        <v>37</v>
      </c>
      <c r="I9" s="44" t="str">
        <f>CONCATENATE("Дополнительная заработная плата, руб. (",('Калькуляция машино-часа'!H15*100),"%)")</f>
        <v>Дополнительная заработная плата, руб. (15%)</v>
      </c>
      <c r="J9" s="44" t="str">
        <f>CONCATENATE("Отчисления от заработной платы, руб., (",('Калькуляция машино-часа'!H16*100),"%)")</f>
        <v>Отчисления от заработной платы, руб., (34%)</v>
      </c>
      <c r="K9" s="44" t="str">
        <f>CONCATENATE("Обязатель- ное страхова- ние, руб., (",('Калькуляция машино-часа'!H17*100),"%)")</f>
        <v>Обязатель- ное страхова- ние, руб., (0,6%)</v>
      </c>
      <c r="L9" s="44" t="s">
        <v>39</v>
      </c>
      <c r="M9" s="44" t="str">
        <f>CONCATENATE("Цеховые расходы, руб.,  (",('Калькуляция машино-часа'!H19*100),"%)")</f>
        <v>Цеховые расходы, руб.,  (54,733%)</v>
      </c>
      <c r="N9" s="44" t="str">
        <f>CONCATENATE("Общехозяй- ственные расходы, руб.  (",('Калькуляция машино-часа'!H20*100),"%)")</f>
        <v>Общехозяй- ственные расходы, руб.  (51,364%)</v>
      </c>
      <c r="O9" s="44" t="s">
        <v>40</v>
      </c>
      <c r="P9" s="8"/>
      <c r="R9" s="103" t="s">
        <v>115</v>
      </c>
    </row>
    <row r="10" spans="2:31" ht="10.5">
      <c r="B10" s="7"/>
      <c r="C10" s="14">
        <v>1</v>
      </c>
      <c r="D10" s="43" t="s">
        <v>452</v>
      </c>
      <c r="E10" s="14" t="s">
        <v>451</v>
      </c>
      <c r="F10" s="14" t="s">
        <v>453</v>
      </c>
      <c r="G10" s="14" t="s">
        <v>41</v>
      </c>
      <c r="H10" s="53">
        <f>IF('ЗП водителей'!Z14=0,"-",'ЗП водителей'!Z14)</f>
        <v>7083</v>
      </c>
      <c r="I10" s="16">
        <f>IF(H10="-","-",ROUND(H10*'Калькуляция машино-часа'!$H$15,0))</f>
        <v>1062</v>
      </c>
      <c r="J10" s="16">
        <f>IF(H10="-","-",ROUND((H10+I10)*'Калькуляция машино-часа'!$H$16,0))</f>
        <v>2769</v>
      </c>
      <c r="K10" s="16">
        <f>IF(H10="-","-",ROUND((H10+I10)*'Калькуляция машино-часа'!$H$17,0))</f>
        <v>49</v>
      </c>
      <c r="L10" s="16">
        <f>IF(амортизация!K10=0,"-",амортизация!K10)</f>
        <v>7730</v>
      </c>
      <c r="M10" s="16">
        <f>IF(H10="-","-",ROUND((H10*'Калькуляция машино-часа'!$H$19),0))</f>
        <v>3877</v>
      </c>
      <c r="N10" s="16">
        <f>IF(H10="-","-",ROUND((H10*'Калькуляция машино-часа'!$H$20),0))</f>
        <v>3638</v>
      </c>
      <c r="O10" s="16">
        <f>SUM(H10:N10)</f>
        <v>26208</v>
      </c>
      <c r="P10" s="8"/>
      <c r="Q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</row>
    <row r="11" spans="2:31" ht="15">
      <c r="B11" s="7"/>
      <c r="C11" s="14">
        <f>C10+1</f>
        <v>2</v>
      </c>
      <c r="D11" s="43" t="s">
        <v>458</v>
      </c>
      <c r="E11" s="14" t="s">
        <v>459</v>
      </c>
      <c r="F11" s="14" t="s">
        <v>454</v>
      </c>
      <c r="G11" s="14" t="s">
        <v>41</v>
      </c>
      <c r="H11" s="53">
        <f>IF('ЗП водителей'!Z15=0,"-",'ЗП водителей'!Z15)</f>
        <v>10755</v>
      </c>
      <c r="I11" s="16">
        <f>IF(H11="-","-",ROUND(H11*'Калькуляция машино-часа'!$H$15,0))</f>
        <v>1613</v>
      </c>
      <c r="J11" s="16">
        <f>IF(H11="-","-",ROUND((H11+I11)*'Калькуляция машино-часа'!$H$16,0))</f>
        <v>4205</v>
      </c>
      <c r="K11" s="16">
        <f>IF(H11="-","-",ROUND((H11+I11)*'Калькуляция машино-часа'!$H$17,0))</f>
        <v>74</v>
      </c>
      <c r="L11" s="16">
        <f>IF(амортизация!K11=0,"-",амортизация!K11)</f>
        <v>8850</v>
      </c>
      <c r="M11" s="16">
        <f>IF(H11="-","-",ROUND((H11*'Калькуляция машино-часа'!$H$19),0))</f>
        <v>5887</v>
      </c>
      <c r="N11" s="16">
        <f>IF(H11="-","-",ROUND((H11*'Калькуляция машино-часа'!$H$20),0))</f>
        <v>5524</v>
      </c>
      <c r="O11" s="16">
        <f aca="true" t="shared" si="0" ref="O11:O30">SUM(H11:N11)</f>
        <v>36908</v>
      </c>
      <c r="P11" s="8"/>
      <c r="Q11" s="77"/>
      <c r="R11" s="103" t="s">
        <v>443</v>
      </c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</row>
    <row r="12" spans="2:31" ht="21">
      <c r="B12" s="7"/>
      <c r="C12" s="14">
        <f aca="true" t="shared" si="1" ref="C12:C30">C11+1</f>
        <v>3</v>
      </c>
      <c r="D12" s="105" t="s">
        <v>460</v>
      </c>
      <c r="E12" s="14" t="s">
        <v>463</v>
      </c>
      <c r="F12" s="14" t="s">
        <v>455</v>
      </c>
      <c r="G12" s="14" t="s">
        <v>41</v>
      </c>
      <c r="H12" s="53">
        <f>IF('ЗП водителей'!Z16=0,"-",'ЗП водителей'!Z16)</f>
        <v>4780</v>
      </c>
      <c r="I12" s="16">
        <f>IF(H12="-","-",ROUND(H12*'Калькуляция машино-часа'!$H$15,0))</f>
        <v>717</v>
      </c>
      <c r="J12" s="16">
        <f>IF(H12="-","-",ROUND((H12+I12)*'Калькуляция машино-часа'!$H$16,0))</f>
        <v>1869</v>
      </c>
      <c r="K12" s="16">
        <f>IF(H12="-","-",ROUND((H12+I12)*'Калькуляция машино-часа'!$H$17,0))</f>
        <v>33</v>
      </c>
      <c r="L12" s="16">
        <f>IF(амортизация!K12=0,"-",амортизация!K12)</f>
        <v>10334</v>
      </c>
      <c r="M12" s="16">
        <f>IF(H12="-","-",ROUND((H12*'Калькуляция машино-часа'!$H$19),0))</f>
        <v>2616</v>
      </c>
      <c r="N12" s="16">
        <f>IF(H12="-","-",ROUND((H12*'Калькуляция машино-часа'!$H$20),0))</f>
        <v>2455</v>
      </c>
      <c r="O12" s="16">
        <f t="shared" si="0"/>
        <v>22804</v>
      </c>
      <c r="P12" s="8"/>
      <c r="Q12" s="77"/>
      <c r="R12" s="103" t="s">
        <v>444</v>
      </c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</row>
    <row r="13" spans="2:31" ht="15">
      <c r="B13" s="7"/>
      <c r="C13" s="14">
        <f t="shared" si="1"/>
        <v>4</v>
      </c>
      <c r="D13" s="43" t="s">
        <v>461</v>
      </c>
      <c r="E13" s="14" t="s">
        <v>462</v>
      </c>
      <c r="F13" s="14" t="s">
        <v>456</v>
      </c>
      <c r="G13" s="14" t="s">
        <v>41</v>
      </c>
      <c r="H13" s="53">
        <f>IF('ЗП водителей'!Z17=0,"-",'ЗП водителей'!Z17)</f>
        <v>5378</v>
      </c>
      <c r="I13" s="16">
        <f>IF(H13="-","-",ROUND(H13*'Калькуляция машино-часа'!$H$15,0))</f>
        <v>807</v>
      </c>
      <c r="J13" s="16">
        <f>IF(H13="-","-",ROUND((H13+I13)*'Калькуляция машино-часа'!$H$16,0))</f>
        <v>2103</v>
      </c>
      <c r="K13" s="16">
        <f>IF(H13="-","-",ROUND((H13+I13)*'Калькуляция машино-часа'!$H$17,0))</f>
        <v>37</v>
      </c>
      <c r="L13" s="16">
        <f>IF(амортизация!K13=0,"-",амортизация!K13)</f>
        <v>7309</v>
      </c>
      <c r="M13" s="16">
        <f>IF(H13="-","-",ROUND((H13*'Калькуляция машино-часа'!$H$19),0))</f>
        <v>2944</v>
      </c>
      <c r="N13" s="16">
        <f>IF(H13="-","-",ROUND((H13*'Калькуляция машино-часа'!$H$20),0))</f>
        <v>2762</v>
      </c>
      <c r="O13" s="16">
        <f t="shared" si="0"/>
        <v>21340</v>
      </c>
      <c r="P13" s="8"/>
      <c r="Q13" s="77"/>
      <c r="R13" s="103" t="s">
        <v>446</v>
      </c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2:31" ht="15">
      <c r="B14" s="7"/>
      <c r="C14" s="14">
        <f t="shared" si="1"/>
        <v>5</v>
      </c>
      <c r="D14" s="43" t="s">
        <v>464</v>
      </c>
      <c r="E14" s="14" t="s">
        <v>465</v>
      </c>
      <c r="F14" s="14" t="s">
        <v>457</v>
      </c>
      <c r="G14" s="14" t="s">
        <v>41</v>
      </c>
      <c r="H14" s="53">
        <f>IF('ЗП водителей'!Z18=0,"-",'ЗП водителей'!Z18)</f>
        <v>4669</v>
      </c>
      <c r="I14" s="16">
        <f>IF(H14="-","-",ROUND(H14*'Калькуляция машино-часа'!$H$15,0))</f>
        <v>700</v>
      </c>
      <c r="J14" s="16">
        <f>IF(H14="-","-",ROUND((H14+I14)*'Калькуляция машино-часа'!$H$16,0))</f>
        <v>1825</v>
      </c>
      <c r="K14" s="16">
        <f>IF(H14="-","-",ROUND((H14+I14)*'Калькуляция машино-часа'!$H$17,0))</f>
        <v>32</v>
      </c>
      <c r="L14" s="16" t="str">
        <f>IF(амортизация!K14=0,"-",амортизация!K14)</f>
        <v>-</v>
      </c>
      <c r="M14" s="16">
        <f>IF(H14="-","-",ROUND((H14*'Калькуляция машино-часа'!$H$19),0))</f>
        <v>2555</v>
      </c>
      <c r="N14" s="16">
        <f>IF(H14="-","-",ROUND((H14*'Калькуляция машино-часа'!$H$20),0))</f>
        <v>2398</v>
      </c>
      <c r="O14" s="16">
        <f t="shared" si="0"/>
        <v>12179</v>
      </c>
      <c r="P14" s="8"/>
      <c r="Q14" s="77"/>
      <c r="R14" s="103" t="s">
        <v>447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</row>
    <row r="15" spans="2:31" ht="15">
      <c r="B15" s="7"/>
      <c r="C15" s="14">
        <f t="shared" si="1"/>
        <v>6</v>
      </c>
      <c r="D15" s="43"/>
      <c r="E15" s="43"/>
      <c r="F15" s="43"/>
      <c r="G15" s="43"/>
      <c r="H15" s="53" t="str">
        <f>IF('ЗП водителей'!Z19=0,"-",'ЗП водителей'!Z19)</f>
        <v>-</v>
      </c>
      <c r="I15" s="16" t="str">
        <f>IF(H15="-","-",ROUND(H15*'Калькуляция машино-часа'!$H$15,0))</f>
        <v>-</v>
      </c>
      <c r="J15" s="16" t="str">
        <f>IF(H15="-","-",ROUND((H15+I15)*'Калькуляция машино-часа'!$H$16,0))</f>
        <v>-</v>
      </c>
      <c r="K15" s="16" t="str">
        <f>IF(H15="-","-",ROUND((H15+I15)*'Калькуляция машино-часа'!$H$17,0))</f>
        <v>-</v>
      </c>
      <c r="L15" s="16" t="str">
        <f>IF(амортизация!K15=0,"-",амортизация!K15)</f>
        <v>-</v>
      </c>
      <c r="M15" s="16" t="str">
        <f>IF(H15="-","-",ROUND((H15*'Калькуляция машино-часа'!$H$19),0))</f>
        <v>-</v>
      </c>
      <c r="N15" s="16" t="str">
        <f>IF(H15="-","-",ROUND((H15*'Калькуляция машино-часа'!$H$20),0))</f>
        <v>-</v>
      </c>
      <c r="O15" s="16">
        <f t="shared" si="0"/>
        <v>0</v>
      </c>
      <c r="P15" s="8"/>
      <c r="Q15" s="77"/>
      <c r="R15" s="103" t="s">
        <v>448</v>
      </c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2:31" ht="15">
      <c r="B16" s="7"/>
      <c r="C16" s="14">
        <f t="shared" si="1"/>
        <v>7</v>
      </c>
      <c r="D16" s="43"/>
      <c r="E16" s="43"/>
      <c r="F16" s="43"/>
      <c r="G16" s="43"/>
      <c r="H16" s="53" t="str">
        <f>IF('ЗП водителей'!Z20=0,"-",'ЗП водителей'!Z20)</f>
        <v>-</v>
      </c>
      <c r="I16" s="16" t="str">
        <f>IF(H16="-","-",ROUND(H16*'Калькуляция машино-часа'!$H$15,0))</f>
        <v>-</v>
      </c>
      <c r="J16" s="16" t="str">
        <f>IF(H16="-","-",ROUND((H16+I16)*'Калькуляция машино-часа'!$H$16,0))</f>
        <v>-</v>
      </c>
      <c r="K16" s="16" t="str">
        <f>IF(H16="-","-",ROUND((H16+I16)*'Калькуляция машино-часа'!$H$17,0))</f>
        <v>-</v>
      </c>
      <c r="L16" s="16" t="str">
        <f>IF(амортизация!K16=0,"-",амортизация!K16)</f>
        <v>-</v>
      </c>
      <c r="M16" s="16" t="str">
        <f>IF(H16="-","-",ROUND((H16*'Калькуляция машино-часа'!$H$19),0))</f>
        <v>-</v>
      </c>
      <c r="N16" s="16" t="str">
        <f>IF(H16="-","-",ROUND((H16*'Калькуляция машино-часа'!$H$20),0))</f>
        <v>-</v>
      </c>
      <c r="O16" s="16">
        <f t="shared" si="0"/>
        <v>0</v>
      </c>
      <c r="P16" s="8"/>
      <c r="Q16" s="77"/>
      <c r="R16" s="103" t="s">
        <v>449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</row>
    <row r="17" spans="2:31" ht="10.5">
      <c r="B17" s="7"/>
      <c r="C17" s="14">
        <f t="shared" si="1"/>
        <v>8</v>
      </c>
      <c r="D17" s="43"/>
      <c r="E17" s="43"/>
      <c r="F17" s="43"/>
      <c r="G17" s="43"/>
      <c r="H17" s="53" t="str">
        <f>IF('ЗП водителей'!Z21=0,"-",'ЗП водителей'!Z21)</f>
        <v>-</v>
      </c>
      <c r="I17" s="16" t="str">
        <f>IF(H17="-","-",ROUND(H17*'Калькуляция машино-часа'!$H$15,0))</f>
        <v>-</v>
      </c>
      <c r="J17" s="16" t="str">
        <f>IF(H17="-","-",ROUND((H17+I17)*'Калькуляция машино-часа'!$H$16,0))</f>
        <v>-</v>
      </c>
      <c r="K17" s="16" t="str">
        <f>IF(H17="-","-",ROUND((H17+I17)*'Калькуляция машино-часа'!$H$17,0))</f>
        <v>-</v>
      </c>
      <c r="L17" s="16" t="str">
        <f>IF(амортизация!K17=0,"-",амортизация!K17)</f>
        <v>-</v>
      </c>
      <c r="M17" s="16" t="str">
        <f>IF(H17="-","-",ROUND((H17*'Калькуляция машино-часа'!$H$19),0))</f>
        <v>-</v>
      </c>
      <c r="N17" s="16" t="str">
        <f>IF(H17="-","-",ROUND((H17*'Калькуляция машино-часа'!$H$20),0))</f>
        <v>-</v>
      </c>
      <c r="O17" s="16">
        <f t="shared" si="0"/>
        <v>0</v>
      </c>
      <c r="P17" s="8"/>
      <c r="Q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</row>
    <row r="18" spans="2:31" ht="10.5">
      <c r="B18" s="7"/>
      <c r="C18" s="14">
        <f t="shared" si="1"/>
        <v>9</v>
      </c>
      <c r="D18" s="43"/>
      <c r="E18" s="43"/>
      <c r="F18" s="43"/>
      <c r="G18" s="43"/>
      <c r="H18" s="53" t="str">
        <f>IF('ЗП водителей'!Z22=0,"-",'ЗП водителей'!Z22)</f>
        <v>-</v>
      </c>
      <c r="I18" s="16" t="str">
        <f>IF(H18="-","-",ROUND(H18*'Калькуляция машино-часа'!$H$15,0))</f>
        <v>-</v>
      </c>
      <c r="J18" s="16" t="str">
        <f>IF(H18="-","-",ROUND((H18+I18)*'Калькуляция машино-часа'!$H$16,0))</f>
        <v>-</v>
      </c>
      <c r="K18" s="16" t="str">
        <f>IF(H18="-","-",ROUND((H18+I18)*'Калькуляция машино-часа'!$H$17,0))</f>
        <v>-</v>
      </c>
      <c r="L18" s="16" t="str">
        <f>IF(амортизация!K18=0,"-",амортизация!K18)</f>
        <v>-</v>
      </c>
      <c r="M18" s="16" t="str">
        <f>IF(H18="-","-",ROUND((H18*'Калькуляция машино-часа'!$H$19),0))</f>
        <v>-</v>
      </c>
      <c r="N18" s="16" t="str">
        <f>IF(H18="-","-",ROUND((H18*'Калькуляция машино-часа'!$H$20),0))</f>
        <v>-</v>
      </c>
      <c r="O18" s="16">
        <f t="shared" si="0"/>
        <v>0</v>
      </c>
      <c r="P18" s="8"/>
      <c r="Q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</row>
    <row r="19" spans="2:31" ht="15">
      <c r="B19" s="7"/>
      <c r="C19" s="14">
        <f t="shared" si="1"/>
        <v>10</v>
      </c>
      <c r="D19" s="43"/>
      <c r="E19" s="43"/>
      <c r="F19" s="43"/>
      <c r="G19" s="43"/>
      <c r="H19" s="53" t="str">
        <f>IF('ЗП водителей'!Z23=0,"-",'ЗП водителей'!Z23)</f>
        <v>-</v>
      </c>
      <c r="I19" s="16" t="str">
        <f>IF(H19="-","-",ROUND(H19*'Калькуляция машино-часа'!$H$15,0))</f>
        <v>-</v>
      </c>
      <c r="J19" s="16" t="str">
        <f>IF(H19="-","-",ROUND((H19+I19)*'Калькуляция машино-часа'!$H$16,0))</f>
        <v>-</v>
      </c>
      <c r="K19" s="16" t="str">
        <f>IF(H19="-","-",ROUND((H19+I19)*'Калькуляция машино-часа'!$H$17,0))</f>
        <v>-</v>
      </c>
      <c r="L19" s="16" t="str">
        <f>IF(амортизация!K19=0,"-",амортизация!K19)</f>
        <v>-</v>
      </c>
      <c r="M19" s="16" t="str">
        <f>IF(H19="-","-",ROUND((H19*'Калькуляция машино-часа'!$H$19),0))</f>
        <v>-</v>
      </c>
      <c r="N19" s="16" t="str">
        <f>IF(H19="-","-",ROUND((H19*'Калькуляция машино-часа'!$H$20),0))</f>
        <v>-</v>
      </c>
      <c r="O19" s="16">
        <f t="shared" si="0"/>
        <v>0</v>
      </c>
      <c r="P19" s="8"/>
      <c r="Q19" s="77"/>
      <c r="R19" s="103" t="s">
        <v>450</v>
      </c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</row>
    <row r="20" spans="2:31" ht="15">
      <c r="B20" s="7"/>
      <c r="C20" s="14">
        <f t="shared" si="1"/>
        <v>11</v>
      </c>
      <c r="D20" s="43"/>
      <c r="E20" s="43"/>
      <c r="F20" s="43"/>
      <c r="G20" s="43"/>
      <c r="H20" s="53" t="str">
        <f>IF('ЗП водителей'!Z24=0,"-",'ЗП водителей'!Z24)</f>
        <v>-</v>
      </c>
      <c r="I20" s="16" t="str">
        <f>IF(H20="-","-",ROUND(H20*'Калькуляция машино-часа'!$H$15,0))</f>
        <v>-</v>
      </c>
      <c r="J20" s="16" t="str">
        <f>IF(H20="-","-",ROUND((H20+I20)*'Калькуляция машино-часа'!$H$16,0))</f>
        <v>-</v>
      </c>
      <c r="K20" s="16" t="str">
        <f>IF(H20="-","-",ROUND((H20+I20)*'Калькуляция машино-часа'!$H$17,0))</f>
        <v>-</v>
      </c>
      <c r="L20" s="16" t="str">
        <f>IF(амортизация!K20=0,"-",амортизация!K20)</f>
        <v>-</v>
      </c>
      <c r="M20" s="16" t="str">
        <f>IF(H20="-","-",ROUND((H20*'Калькуляция машино-часа'!$H$19),0))</f>
        <v>-</v>
      </c>
      <c r="N20" s="16" t="str">
        <f>IF(H20="-","-",ROUND((H20*'Калькуляция машино-часа'!$H$20),0))</f>
        <v>-</v>
      </c>
      <c r="O20" s="16">
        <f t="shared" si="0"/>
        <v>0</v>
      </c>
      <c r="P20" s="8"/>
      <c r="Q20" s="77"/>
      <c r="R20" s="103" t="s">
        <v>410</v>
      </c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</row>
    <row r="21" spans="2:31" ht="10.5">
      <c r="B21" s="7"/>
      <c r="C21" s="14">
        <f t="shared" si="1"/>
        <v>12</v>
      </c>
      <c r="D21" s="43"/>
      <c r="E21" s="43"/>
      <c r="F21" s="43"/>
      <c r="G21" s="43"/>
      <c r="H21" s="53" t="str">
        <f>IF('ЗП водителей'!Z25=0,"-",'ЗП водителей'!Z25)</f>
        <v>-</v>
      </c>
      <c r="I21" s="16" t="str">
        <f>IF(H21="-","-",ROUND(H21*'Калькуляция машино-часа'!$H$15,0))</f>
        <v>-</v>
      </c>
      <c r="J21" s="16" t="str">
        <f>IF(H21="-","-",ROUND((H21+I21)*'Калькуляция машино-часа'!$H$16,0))</f>
        <v>-</v>
      </c>
      <c r="K21" s="16" t="str">
        <f>IF(H21="-","-",ROUND((H21+I21)*'Калькуляция машино-часа'!$H$17,0))</f>
        <v>-</v>
      </c>
      <c r="L21" s="16" t="str">
        <f>IF(амортизация!K21=0,"-",амортизация!K21)</f>
        <v>-</v>
      </c>
      <c r="M21" s="16" t="str">
        <f>IF(H21="-","-",ROUND((H21*'Калькуляция машино-часа'!$H$19),0))</f>
        <v>-</v>
      </c>
      <c r="N21" s="16" t="str">
        <f>IF(H21="-","-",ROUND((H21*'Калькуляция машино-часа'!$H$20),0))</f>
        <v>-</v>
      </c>
      <c r="O21" s="16">
        <f t="shared" si="0"/>
        <v>0</v>
      </c>
      <c r="P21" s="8"/>
      <c r="Q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</row>
    <row r="22" spans="2:31" ht="10.5">
      <c r="B22" s="7"/>
      <c r="C22" s="14">
        <f t="shared" si="1"/>
        <v>13</v>
      </c>
      <c r="D22" s="43"/>
      <c r="E22" s="43"/>
      <c r="F22" s="43"/>
      <c r="G22" s="43"/>
      <c r="H22" s="53" t="str">
        <f>IF('ЗП водителей'!Z26=0,"-",'ЗП водителей'!Z26)</f>
        <v>-</v>
      </c>
      <c r="I22" s="16" t="str">
        <f>IF(H22="-","-",ROUND(H22*'Калькуляция машино-часа'!$H$15,0))</f>
        <v>-</v>
      </c>
      <c r="J22" s="16" t="str">
        <f>IF(H22="-","-",ROUND((H22+I22)*'Калькуляция машино-часа'!$H$16,0))</f>
        <v>-</v>
      </c>
      <c r="K22" s="16" t="str">
        <f>IF(H22="-","-",ROUND((H22+I22)*'Калькуляция машино-часа'!$H$17,0))</f>
        <v>-</v>
      </c>
      <c r="L22" s="16" t="str">
        <f>IF(амортизация!K22=0,"-",амортизация!K22)</f>
        <v>-</v>
      </c>
      <c r="M22" s="16" t="str">
        <f>IF(H22="-","-",ROUND((H22*'Калькуляция машино-часа'!$H$19),0))</f>
        <v>-</v>
      </c>
      <c r="N22" s="16" t="str">
        <f>IF(H22="-","-",ROUND((H22*'Калькуляция машино-часа'!$H$20),0))</f>
        <v>-</v>
      </c>
      <c r="O22" s="16">
        <f t="shared" si="0"/>
        <v>0</v>
      </c>
      <c r="P22" s="8"/>
      <c r="Q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2:31" ht="10.5">
      <c r="B23" s="7"/>
      <c r="C23" s="14">
        <f t="shared" si="1"/>
        <v>14</v>
      </c>
      <c r="D23" s="43"/>
      <c r="E23" s="43"/>
      <c r="F23" s="43"/>
      <c r="G23" s="43"/>
      <c r="H23" s="53" t="str">
        <f>IF('ЗП водителей'!Z27=0,"-",'ЗП водителей'!Z27)</f>
        <v>-</v>
      </c>
      <c r="I23" s="16" t="str">
        <f>IF(H23="-","-",ROUND(H23*'Калькуляция машино-часа'!$H$15,0))</f>
        <v>-</v>
      </c>
      <c r="J23" s="16" t="str">
        <f>IF(H23="-","-",ROUND((H23+I23)*'Калькуляция машино-часа'!$H$16,0))</f>
        <v>-</v>
      </c>
      <c r="K23" s="16" t="str">
        <f>IF(H23="-","-",ROUND((H23+I23)*'Калькуляция машино-часа'!$H$17,0))</f>
        <v>-</v>
      </c>
      <c r="L23" s="16" t="str">
        <f>IF(амортизация!K23=0,"-",амортизация!K23)</f>
        <v>-</v>
      </c>
      <c r="M23" s="16" t="str">
        <f>IF(H23="-","-",ROUND((H23*'Калькуляция машино-часа'!$H$19),0))</f>
        <v>-</v>
      </c>
      <c r="N23" s="16" t="str">
        <f>IF(H23="-","-",ROUND((H23*'Калькуляция машино-часа'!$H$20),0))</f>
        <v>-</v>
      </c>
      <c r="O23" s="16">
        <f t="shared" si="0"/>
        <v>0</v>
      </c>
      <c r="P23" s="8"/>
      <c r="Q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</row>
    <row r="24" spans="2:31" ht="10.5">
      <c r="B24" s="7"/>
      <c r="C24" s="14">
        <f t="shared" si="1"/>
        <v>15</v>
      </c>
      <c r="D24" s="43"/>
      <c r="E24" s="43"/>
      <c r="F24" s="43"/>
      <c r="G24" s="43"/>
      <c r="H24" s="53" t="str">
        <f>IF('ЗП водителей'!Z28=0,"-",'ЗП водителей'!Z28)</f>
        <v>-</v>
      </c>
      <c r="I24" s="16" t="str">
        <f>IF(H24="-","-",ROUND(H24*'Калькуляция машино-часа'!$H$15,0))</f>
        <v>-</v>
      </c>
      <c r="J24" s="16" t="str">
        <f>IF(H24="-","-",ROUND((H24+I24)*'Калькуляция машино-часа'!$H$16,0))</f>
        <v>-</v>
      </c>
      <c r="K24" s="16" t="str">
        <f>IF(H24="-","-",ROUND((H24+I24)*'Калькуляция машино-часа'!$H$17,0))</f>
        <v>-</v>
      </c>
      <c r="L24" s="16" t="str">
        <f>IF(амортизация!K24=0,"-",амортизация!K24)</f>
        <v>-</v>
      </c>
      <c r="M24" s="16" t="str">
        <f>IF(H24="-","-",ROUND((H24*'Калькуляция машино-часа'!$H$19),0))</f>
        <v>-</v>
      </c>
      <c r="N24" s="16" t="str">
        <f>IF(H24="-","-",ROUND((H24*'Калькуляция машино-часа'!$H$20),0))</f>
        <v>-</v>
      </c>
      <c r="O24" s="16">
        <f t="shared" si="0"/>
        <v>0</v>
      </c>
      <c r="P24" s="8"/>
      <c r="Q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</row>
    <row r="25" spans="2:31" ht="10.5">
      <c r="B25" s="7"/>
      <c r="C25" s="14">
        <f t="shared" si="1"/>
        <v>16</v>
      </c>
      <c r="D25" s="43"/>
      <c r="E25" s="43"/>
      <c r="F25" s="43"/>
      <c r="G25" s="43"/>
      <c r="H25" s="53" t="str">
        <f>IF('ЗП водителей'!Z29=0,"-",'ЗП водителей'!Z29)</f>
        <v>-</v>
      </c>
      <c r="I25" s="16" t="str">
        <f>IF(H25="-","-",ROUND(H25*'Калькуляция машино-часа'!$H$15,0))</f>
        <v>-</v>
      </c>
      <c r="J25" s="16" t="str">
        <f>IF(H25="-","-",ROUND((H25+I25)*'Калькуляция машино-часа'!$H$16,0))</f>
        <v>-</v>
      </c>
      <c r="K25" s="16" t="str">
        <f>IF(H25="-","-",ROUND((H25+I25)*'Калькуляция машино-часа'!$H$17,0))</f>
        <v>-</v>
      </c>
      <c r="L25" s="16" t="str">
        <f>IF(амортизация!K25=0,"-",амортизация!K25)</f>
        <v>-</v>
      </c>
      <c r="M25" s="16" t="str">
        <f>IF(H25="-","-",ROUND((H25*'Калькуляция машино-часа'!$H$19),0))</f>
        <v>-</v>
      </c>
      <c r="N25" s="16" t="str">
        <f>IF(H25="-","-",ROUND((H25*'Калькуляция машино-часа'!$H$20),0))</f>
        <v>-</v>
      </c>
      <c r="O25" s="16">
        <f t="shared" si="0"/>
        <v>0</v>
      </c>
      <c r="P25" s="8"/>
      <c r="Q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2:31" ht="10.5">
      <c r="B26" s="7"/>
      <c r="C26" s="14">
        <f t="shared" si="1"/>
        <v>17</v>
      </c>
      <c r="D26" s="43"/>
      <c r="E26" s="43"/>
      <c r="F26" s="43"/>
      <c r="G26" s="43"/>
      <c r="H26" s="53" t="str">
        <f>IF('ЗП водителей'!Z30=0,"-",'ЗП водителей'!Z30)</f>
        <v>-</v>
      </c>
      <c r="I26" s="16" t="str">
        <f>IF(H26="-","-",ROUND(H26*'Калькуляция машино-часа'!$H$15,0))</f>
        <v>-</v>
      </c>
      <c r="J26" s="16" t="str">
        <f>IF(H26="-","-",ROUND((H26+I26)*'Калькуляция машино-часа'!$H$16,0))</f>
        <v>-</v>
      </c>
      <c r="K26" s="16" t="str">
        <f>IF(H26="-","-",ROUND((H26+I26)*'Калькуляция машино-часа'!$H$17,0))</f>
        <v>-</v>
      </c>
      <c r="L26" s="16" t="str">
        <f>IF(амортизация!K26=0,"-",амортизация!K26)</f>
        <v>-</v>
      </c>
      <c r="M26" s="16" t="str">
        <f>IF(H26="-","-",ROUND((H26*'Калькуляция машино-часа'!$H$19),0))</f>
        <v>-</v>
      </c>
      <c r="N26" s="16" t="str">
        <f>IF(H26="-","-",ROUND((H26*'Калькуляция машино-часа'!$H$20),0))</f>
        <v>-</v>
      </c>
      <c r="O26" s="16">
        <f t="shared" si="0"/>
        <v>0</v>
      </c>
      <c r="P26" s="8"/>
      <c r="Q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</row>
    <row r="27" spans="2:31" ht="10.5">
      <c r="B27" s="7"/>
      <c r="C27" s="14">
        <f t="shared" si="1"/>
        <v>18</v>
      </c>
      <c r="D27" s="43"/>
      <c r="E27" s="43"/>
      <c r="F27" s="43"/>
      <c r="G27" s="43"/>
      <c r="H27" s="53" t="str">
        <f>IF('ЗП водителей'!Z31=0,"-",'ЗП водителей'!Z31)</f>
        <v>-</v>
      </c>
      <c r="I27" s="16" t="str">
        <f>IF(H27="-","-",ROUND(H27*'Калькуляция машино-часа'!$H$15,0))</f>
        <v>-</v>
      </c>
      <c r="J27" s="16" t="str">
        <f>IF(H27="-","-",ROUND((H27+I27)*'Калькуляция машино-часа'!$H$16,0))</f>
        <v>-</v>
      </c>
      <c r="K27" s="16" t="str">
        <f>IF(H27="-","-",ROUND((H27+I27)*'Калькуляция машино-часа'!$H$17,0))</f>
        <v>-</v>
      </c>
      <c r="L27" s="16" t="str">
        <f>IF(амортизация!K27=0,"-",амортизация!K27)</f>
        <v>-</v>
      </c>
      <c r="M27" s="16" t="str">
        <f>IF(H27="-","-",ROUND((H27*'Калькуляция машино-часа'!$H$19),0))</f>
        <v>-</v>
      </c>
      <c r="N27" s="16" t="str">
        <f>IF(H27="-","-",ROUND((H27*'Калькуляция машино-часа'!$H$20),0))</f>
        <v>-</v>
      </c>
      <c r="O27" s="16">
        <f t="shared" si="0"/>
        <v>0</v>
      </c>
      <c r="P27" s="8"/>
      <c r="Q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</row>
    <row r="28" spans="2:31" ht="10.5">
      <c r="B28" s="7"/>
      <c r="C28" s="14">
        <f t="shared" si="1"/>
        <v>19</v>
      </c>
      <c r="D28" s="43"/>
      <c r="E28" s="43"/>
      <c r="F28" s="43"/>
      <c r="G28" s="43"/>
      <c r="H28" s="53" t="str">
        <f>IF('ЗП водителей'!Z32=0,"-",'ЗП водителей'!Z32)</f>
        <v>-</v>
      </c>
      <c r="I28" s="16" t="str">
        <f>IF(H28="-","-",ROUND(H28*'Калькуляция машино-часа'!$H$15,0))</f>
        <v>-</v>
      </c>
      <c r="J28" s="16" t="str">
        <f>IF(H28="-","-",ROUND((H28+I28)*'Калькуляция машино-часа'!$H$16,0))</f>
        <v>-</v>
      </c>
      <c r="K28" s="16" t="str">
        <f>IF(H28="-","-",ROUND((H28+I28)*'Калькуляция машино-часа'!$H$17,0))</f>
        <v>-</v>
      </c>
      <c r="L28" s="16" t="str">
        <f>IF(амортизация!K28=0,"-",амортизация!K28)</f>
        <v>-</v>
      </c>
      <c r="M28" s="16" t="str">
        <f>IF(H28="-","-",ROUND((H28*'Калькуляция машино-часа'!$H$19),0))</f>
        <v>-</v>
      </c>
      <c r="N28" s="16" t="str">
        <f>IF(H28="-","-",ROUND((H28*'Калькуляция машино-часа'!$H$20),0))</f>
        <v>-</v>
      </c>
      <c r="O28" s="16">
        <f t="shared" si="0"/>
        <v>0</v>
      </c>
      <c r="P28" s="8"/>
      <c r="Q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</row>
    <row r="29" spans="2:31" ht="10.5">
      <c r="B29" s="7"/>
      <c r="C29" s="14">
        <f t="shared" si="1"/>
        <v>20</v>
      </c>
      <c r="D29" s="43"/>
      <c r="E29" s="43"/>
      <c r="F29" s="43"/>
      <c r="G29" s="43"/>
      <c r="H29" s="53" t="str">
        <f>IF('ЗП водителей'!Z33=0,"-",'ЗП водителей'!Z33)</f>
        <v>-</v>
      </c>
      <c r="I29" s="16" t="str">
        <f>IF(H29="-","-",ROUND(H29*'Калькуляция машино-часа'!$H$15,0))</f>
        <v>-</v>
      </c>
      <c r="J29" s="16" t="str">
        <f>IF(H29="-","-",ROUND((H29+I29)*'Калькуляция машино-часа'!$H$16,0))</f>
        <v>-</v>
      </c>
      <c r="K29" s="16" t="str">
        <f>IF(H29="-","-",ROUND((H29+I29)*'Калькуляция машино-часа'!$H$17,0))</f>
        <v>-</v>
      </c>
      <c r="L29" s="16" t="str">
        <f>IF(амортизация!K29=0,"-",амортизация!K29)</f>
        <v>-</v>
      </c>
      <c r="M29" s="16" t="str">
        <f>IF(H29="-","-",ROUND((H29*'Калькуляция машино-часа'!$H$19),0))</f>
        <v>-</v>
      </c>
      <c r="N29" s="16" t="str">
        <f>IF(H29="-","-",ROUND((H29*'Калькуляция машино-часа'!$H$20),0))</f>
        <v>-</v>
      </c>
      <c r="O29" s="16">
        <f t="shared" si="0"/>
        <v>0</v>
      </c>
      <c r="P29" s="8"/>
      <c r="Q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</row>
    <row r="30" spans="2:31" ht="10.5">
      <c r="B30" s="7"/>
      <c r="C30" s="14">
        <f t="shared" si="1"/>
        <v>21</v>
      </c>
      <c r="D30" s="43"/>
      <c r="E30" s="43"/>
      <c r="F30" s="43"/>
      <c r="G30" s="43"/>
      <c r="H30" s="53" t="str">
        <f>IF('ЗП водителей'!Z34=0,"-",'ЗП водителей'!Z34)</f>
        <v>-</v>
      </c>
      <c r="I30" s="16" t="str">
        <f>IF(H30="-","-",ROUND(H30*'Калькуляция машино-часа'!$H$15,0))</f>
        <v>-</v>
      </c>
      <c r="J30" s="16" t="str">
        <f>IF(H30="-","-",ROUND((H30+I30)*'Калькуляция машино-часа'!$H$16,0))</f>
        <v>-</v>
      </c>
      <c r="K30" s="16" t="str">
        <f>IF(H30="-","-",ROUND((H30+I30)*'Калькуляция машино-часа'!$H$17,0))</f>
        <v>-</v>
      </c>
      <c r="L30" s="16" t="str">
        <f>IF(амортизация!K30=0,"-",амортизация!K30)</f>
        <v>-</v>
      </c>
      <c r="M30" s="16" t="str">
        <f>IF(H30="-","-",ROUND((H30*'Калькуляция машино-часа'!$H$19),0))</f>
        <v>-</v>
      </c>
      <c r="N30" s="16" t="str">
        <f>IF(H30="-","-",ROUND((H30*'Калькуляция машино-часа'!$H$20),0))</f>
        <v>-</v>
      </c>
      <c r="O30" s="16">
        <f t="shared" si="0"/>
        <v>0</v>
      </c>
      <c r="P30" s="8"/>
      <c r="Q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</row>
    <row r="31" spans="2:31" ht="10.5">
      <c r="B31" s="7"/>
      <c r="C31" s="14"/>
      <c r="D31" s="17" t="s">
        <v>43</v>
      </c>
      <c r="E31" s="46" t="s">
        <v>42</v>
      </c>
      <c r="F31" s="46" t="s">
        <v>42</v>
      </c>
      <c r="G31" s="46" t="s">
        <v>42</v>
      </c>
      <c r="H31" s="18">
        <f>ROUND(AVERAGE(H10:H30),0)</f>
        <v>6533</v>
      </c>
      <c r="I31" s="18">
        <f>IF(H31="-","-",ROUND(H31*'Калькуляция машино-часа'!$H$15,0))</f>
        <v>980</v>
      </c>
      <c r="J31" s="18">
        <f>IF(H31="-","-",ROUND((H31+I31)*'Калькуляция машино-часа'!$H$16,0))</f>
        <v>2554</v>
      </c>
      <c r="K31" s="18">
        <f>ROUND(AVERAGE(K10:K30),0)</f>
        <v>45</v>
      </c>
      <c r="L31" s="18">
        <f>ROUND(AVERAGE(L10:L30),0)</f>
        <v>8556</v>
      </c>
      <c r="M31" s="18">
        <f>IF(H31="-","-",ROUND((H31*'Калькуляция машино-часа'!$H$19),0))</f>
        <v>3576</v>
      </c>
      <c r="N31" s="18">
        <f>IF(H31="-","-",ROUND((H31*'Калькуляция машино-часа'!$H$20),0))</f>
        <v>3356</v>
      </c>
      <c r="O31" s="18">
        <f>SUM(H31:N31)</f>
        <v>25600</v>
      </c>
      <c r="P31" s="8"/>
      <c r="Q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</row>
    <row r="32" spans="2:31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1"/>
      <c r="P32" s="8"/>
      <c r="Q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</row>
    <row r="33" spans="2:56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20:56" ht="10.5">
      <c r="T34" s="28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30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20:56" ht="10.5">
      <c r="T35" s="24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30"/>
      <c r="AQ35" s="30"/>
      <c r="AR35" s="30"/>
      <c r="AS35" s="30"/>
      <c r="AT35" s="30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3:56" ht="10.5">
      <c r="C36" s="31"/>
      <c r="D36" s="31"/>
      <c r="T36" s="28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30"/>
      <c r="AQ36" s="30"/>
      <c r="AR36" s="30"/>
      <c r="AS36" s="30"/>
      <c r="AT36" s="30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3:56" ht="10.5">
      <c r="C37" s="31"/>
      <c r="D37" s="31"/>
      <c r="R37" s="23"/>
      <c r="T37" s="28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  <c r="AP37" s="30"/>
      <c r="AQ37" s="30"/>
      <c r="AR37" s="30"/>
      <c r="AS37" s="30"/>
      <c r="AT37" s="30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3:56" ht="10.5">
      <c r="C38" s="31"/>
      <c r="D38" s="31"/>
      <c r="T38" s="28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30"/>
      <c r="AQ38" s="30"/>
      <c r="AR38" s="30"/>
      <c r="AS38" s="30"/>
      <c r="AT38" s="30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3:56" ht="10.5">
      <c r="C39" s="31"/>
      <c r="D39" s="31"/>
      <c r="T39" s="28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30"/>
      <c r="AP39" s="30"/>
      <c r="AQ39" s="30"/>
      <c r="AR39" s="30"/>
      <c r="AS39" s="30"/>
      <c r="AT39" s="30"/>
      <c r="AU39" s="29"/>
      <c r="AV39" s="29"/>
      <c r="AW39" s="29"/>
      <c r="AX39" s="29"/>
      <c r="AY39" s="29"/>
      <c r="AZ39" s="29"/>
      <c r="BA39" s="29"/>
      <c r="BB39" s="29"/>
      <c r="BC39" s="29"/>
      <c r="BD39" s="29"/>
    </row>
    <row r="40" spans="3:56" ht="10.5">
      <c r="C40" s="31"/>
      <c r="D40" s="31"/>
      <c r="T40" s="28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30"/>
      <c r="AP40" s="30"/>
      <c r="AQ40" s="30"/>
      <c r="AR40" s="30"/>
      <c r="AS40" s="30"/>
      <c r="AT40" s="30"/>
      <c r="AU40" s="29"/>
      <c r="AV40" s="29"/>
      <c r="AW40" s="29"/>
      <c r="AX40" s="29"/>
      <c r="AY40" s="29"/>
      <c r="AZ40" s="29"/>
      <c r="BA40" s="29"/>
      <c r="BB40" s="29"/>
      <c r="BC40" s="29"/>
      <c r="BD40" s="29"/>
    </row>
    <row r="41" spans="3:56" ht="10.5">
      <c r="C41" s="31"/>
      <c r="D41" s="31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30"/>
      <c r="AQ41" s="30"/>
      <c r="AR41" s="30"/>
      <c r="AS41" s="30"/>
      <c r="AT41" s="30"/>
      <c r="AU41" s="29"/>
      <c r="AV41" s="29"/>
      <c r="AW41" s="29"/>
      <c r="AX41" s="29"/>
      <c r="AY41" s="29"/>
      <c r="AZ41" s="29"/>
      <c r="BA41" s="29"/>
      <c r="BB41" s="29"/>
      <c r="BC41" s="29"/>
      <c r="BD41" s="29"/>
    </row>
    <row r="42" spans="3:56" ht="10.5">
      <c r="C42" s="31"/>
      <c r="D42" s="31"/>
      <c r="T42" s="28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</row>
    <row r="43" spans="3:56" ht="10.5">
      <c r="C43" s="31"/>
      <c r="D43" s="31"/>
      <c r="T43" s="28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</row>
    <row r="44" spans="3:56" ht="10.5">
      <c r="C44" s="31"/>
      <c r="D44" s="31"/>
      <c r="T44" s="28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</row>
    <row r="45" spans="3:56" ht="10.5">
      <c r="C45" s="31"/>
      <c r="D45" s="31"/>
      <c r="T45" s="28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  <row r="46" spans="3:56" ht="10.5">
      <c r="C46" s="31"/>
      <c r="D46" s="31"/>
      <c r="T46" s="28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</row>
    <row r="47" spans="3:56" ht="10.5">
      <c r="C47" s="31"/>
      <c r="D47" s="31"/>
      <c r="T47" s="28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</row>
    <row r="48" spans="3:4" ht="10.5">
      <c r="C48" s="31"/>
      <c r="D48" s="31"/>
    </row>
  </sheetData>
  <sheetProtection/>
  <mergeCells count="3">
    <mergeCell ref="C4:O4"/>
    <mergeCell ref="C5:O5"/>
    <mergeCell ref="C6:O6"/>
  </mergeCells>
  <hyperlinks>
    <hyperlink ref="R4" location="'Калькуляция машино-часа'!A1" display="Калькуляция стоимости 1 часа использования"/>
    <hyperlink ref="R5" location="'Себестоимость 1 машино-часа'!A1" display="Расчет  себестоимости 1 часа использования"/>
    <hyperlink ref="R6" location="'ЗП водителей'!A1" display="Расчет затрат на заработную плату водителей"/>
    <hyperlink ref="R7" location="амортизация!A1" display="Расчет амортизационных отчислений"/>
    <hyperlink ref="R8" location="'расчет % ОПР'!A1" display="Расчет процента общепроизводственных расходов"/>
    <hyperlink ref="R9" location="'расчет % ОХР'!A1" display="Расчет процента общехозяйственных расходов"/>
    <hyperlink ref="R11" location="'Калькуляция 1 км'!A1" display="Калькуляция стоимости 1 км пробега (с топливом)"/>
    <hyperlink ref="R12" location="'Калькуляция 1 км (без топлива)'!A1" display="Калькуляция стоимости 1 км пробега (без топлива)"/>
    <hyperlink ref="R13" location="'Себестоимость 1 км'!A1" display="Расчет себестоимости 1 часа использования"/>
    <hyperlink ref="R14" location="техобслуживание!A1" display="Расчет затрат на техническое обслуживание на 1 км пробега автотранспорта"/>
    <hyperlink ref="R15" location="топливо!A1" display="Расчет затрат на топливо на 1 км пробега автотранспорта"/>
    <hyperlink ref="R16" location="'Затраты на восстановление шин'!A1" display="Расчет  затрат на восстановление шин на 1 км пробега автотранспорта"/>
    <hyperlink ref="R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R20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6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3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O51"/>
  <sheetViews>
    <sheetView zoomScalePageLayoutView="0" workbookViewId="0" topLeftCell="K1">
      <selection activeCell="AC4" sqref="AC4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3.8515625" style="1" customWidth="1"/>
    <col min="5" max="5" width="23.140625" style="1" bestFit="1" customWidth="1"/>
    <col min="6" max="6" width="6.28125" style="1" customWidth="1"/>
    <col min="7" max="7" width="7.57421875" style="1" bestFit="1" customWidth="1"/>
    <col min="8" max="8" width="6.140625" style="1" bestFit="1" customWidth="1"/>
    <col min="9" max="9" width="7.28125" style="1" customWidth="1"/>
    <col min="10" max="10" width="5.28125" style="1" bestFit="1" customWidth="1"/>
    <col min="11" max="11" width="6.57421875" style="1" bestFit="1" customWidth="1"/>
    <col min="12" max="12" width="5.28125" style="1" bestFit="1" customWidth="1"/>
    <col min="13" max="13" width="6.57421875" style="1" customWidth="1"/>
    <col min="14" max="14" width="7.7109375" style="1" customWidth="1"/>
    <col min="15" max="15" width="9.57421875" style="1" bestFit="1" customWidth="1"/>
    <col min="16" max="16" width="6.57421875" style="1" bestFit="1" customWidth="1"/>
    <col min="17" max="17" width="7.8515625" style="1" bestFit="1" customWidth="1"/>
    <col min="18" max="18" width="8.28125" style="1" bestFit="1" customWidth="1"/>
    <col min="19" max="19" width="7.8515625" style="1" bestFit="1" customWidth="1"/>
    <col min="20" max="20" width="5.7109375" style="1" bestFit="1" customWidth="1"/>
    <col min="21" max="21" width="7.57421875" style="1" customWidth="1"/>
    <col min="22" max="24" width="8.00390625" style="1" customWidth="1"/>
    <col min="25" max="25" width="9.421875" style="1" customWidth="1"/>
    <col min="26" max="26" width="10.7109375" style="1" customWidth="1"/>
    <col min="27" max="27" width="2.140625" style="1" customWidth="1"/>
    <col min="28" max="28" width="2.421875" style="1" customWidth="1"/>
    <col min="29" max="29" width="73.28125" style="1" customWidth="1"/>
    <col min="30" max="16384" width="9.140625" style="1" customWidth="1"/>
  </cols>
  <sheetData>
    <row r="1" spans="1:2" ht="11.25" thickBot="1">
      <c r="A1" s="1"/>
      <c r="B1" s="2" t="s">
        <v>0</v>
      </c>
    </row>
    <row r="2" spans="2:27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2:27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8"/>
    </row>
    <row r="4" spans="2:29" ht="15">
      <c r="B4" s="7"/>
      <c r="C4" s="108" t="s">
        <v>32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8"/>
      <c r="AC4" s="103" t="s">
        <v>439</v>
      </c>
    </row>
    <row r="5" spans="2:29" ht="15">
      <c r="B5" s="7"/>
      <c r="C5" s="109" t="s">
        <v>60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8"/>
      <c r="AC5" s="103" t="s">
        <v>440</v>
      </c>
    </row>
    <row r="6" spans="2:29" ht="15">
      <c r="B6" s="7"/>
      <c r="C6" s="118" t="str">
        <f>'Себестоимость 1 машино-часа'!C6:O6</f>
        <v>Грузопассажирский автомобиль (грузоподъемность 2 т и более, вместимость 5 пассажиро-мест и более)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8"/>
      <c r="AC6" s="103" t="s">
        <v>441</v>
      </c>
    </row>
    <row r="7" spans="2:29" ht="15">
      <c r="B7" s="7"/>
      <c r="C7" s="121" t="s">
        <v>61</v>
      </c>
      <c r="D7" s="121"/>
      <c r="E7" s="121"/>
      <c r="F7" s="121"/>
      <c r="G7" s="52">
        <v>220000</v>
      </c>
      <c r="H7" s="42" t="s">
        <v>64</v>
      </c>
      <c r="I7" s="48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8"/>
      <c r="AC7" s="103" t="s">
        <v>442</v>
      </c>
    </row>
    <row r="8" spans="2:29" ht="15">
      <c r="B8" s="7"/>
      <c r="C8" s="121" t="s">
        <v>470</v>
      </c>
      <c r="D8" s="121"/>
      <c r="E8" s="121"/>
      <c r="F8" s="121"/>
      <c r="G8" s="52">
        <v>2037</v>
      </c>
      <c r="H8" s="42" t="s">
        <v>63</v>
      </c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8"/>
      <c r="AC8" s="103" t="s">
        <v>99</v>
      </c>
    </row>
    <row r="9" spans="2:29" ht="15">
      <c r="B9" s="7"/>
      <c r="C9" s="121" t="s">
        <v>471</v>
      </c>
      <c r="D9" s="121"/>
      <c r="E9" s="121"/>
      <c r="F9" s="121"/>
      <c r="G9" s="49">
        <f>ROUND(G8/12,1)</f>
        <v>169.8</v>
      </c>
      <c r="H9" s="42" t="s">
        <v>63</v>
      </c>
      <c r="I9" s="48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8"/>
      <c r="AC9" s="103" t="s">
        <v>115</v>
      </c>
    </row>
    <row r="10" spans="2:27" ht="12.75">
      <c r="B10" s="7"/>
      <c r="C10" s="121" t="s">
        <v>62</v>
      </c>
      <c r="D10" s="121"/>
      <c r="E10" s="121"/>
      <c r="F10" s="121"/>
      <c r="G10" s="50">
        <f>ROUND(G7/G9,0)</f>
        <v>1296</v>
      </c>
      <c r="H10" s="42" t="s">
        <v>64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8"/>
    </row>
    <row r="11" spans="2:29" ht="15"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11"/>
      <c r="AA11" s="8"/>
      <c r="AC11" s="103" t="s">
        <v>443</v>
      </c>
    </row>
    <row r="12" spans="2:29" ht="55.5" customHeight="1">
      <c r="B12" s="7"/>
      <c r="C12" s="119" t="s">
        <v>1</v>
      </c>
      <c r="D12" s="119" t="s">
        <v>44</v>
      </c>
      <c r="E12" s="119" t="s">
        <v>56</v>
      </c>
      <c r="F12" s="119" t="s">
        <v>57</v>
      </c>
      <c r="G12" s="119" t="s">
        <v>58</v>
      </c>
      <c r="H12" s="119" t="s">
        <v>59</v>
      </c>
      <c r="I12" s="119" t="s">
        <v>45</v>
      </c>
      <c r="J12" s="122" t="s">
        <v>46</v>
      </c>
      <c r="K12" s="123"/>
      <c r="L12" s="122" t="s">
        <v>66</v>
      </c>
      <c r="M12" s="123"/>
      <c r="N12" s="119" t="s">
        <v>67</v>
      </c>
      <c r="O12" s="119" t="s">
        <v>47</v>
      </c>
      <c r="P12" s="122" t="s">
        <v>3</v>
      </c>
      <c r="Q12" s="123"/>
      <c r="R12" s="122" t="s">
        <v>48</v>
      </c>
      <c r="S12" s="123"/>
      <c r="T12" s="122" t="s">
        <v>49</v>
      </c>
      <c r="U12" s="123"/>
      <c r="V12" s="122" t="s">
        <v>68</v>
      </c>
      <c r="W12" s="124"/>
      <c r="X12" s="123"/>
      <c r="Y12" s="119" t="s">
        <v>50</v>
      </c>
      <c r="Z12" s="44" t="s">
        <v>51</v>
      </c>
      <c r="AA12" s="8"/>
      <c r="AC12" s="103" t="s">
        <v>444</v>
      </c>
    </row>
    <row r="13" spans="2:29" ht="38.25" customHeight="1">
      <c r="B13" s="7"/>
      <c r="C13" s="120"/>
      <c r="D13" s="120"/>
      <c r="E13" s="120"/>
      <c r="F13" s="120"/>
      <c r="G13" s="120"/>
      <c r="H13" s="120"/>
      <c r="I13" s="120"/>
      <c r="J13" s="44" t="s">
        <v>65</v>
      </c>
      <c r="K13" s="44" t="s">
        <v>52</v>
      </c>
      <c r="L13" s="44" t="s">
        <v>65</v>
      </c>
      <c r="M13" s="44" t="s">
        <v>52</v>
      </c>
      <c r="N13" s="120"/>
      <c r="O13" s="120"/>
      <c r="P13" s="44" t="s">
        <v>53</v>
      </c>
      <c r="Q13" s="44" t="s">
        <v>52</v>
      </c>
      <c r="R13" s="44" t="s">
        <v>53</v>
      </c>
      <c r="S13" s="44" t="s">
        <v>52</v>
      </c>
      <c r="T13" s="44" t="s">
        <v>53</v>
      </c>
      <c r="U13" s="44" t="s">
        <v>52</v>
      </c>
      <c r="V13" s="44" t="s">
        <v>53</v>
      </c>
      <c r="W13" s="44" t="s">
        <v>69</v>
      </c>
      <c r="X13" s="44" t="s">
        <v>54</v>
      </c>
      <c r="Y13" s="120"/>
      <c r="Z13" s="44"/>
      <c r="AA13" s="8"/>
      <c r="AC13" s="103" t="s">
        <v>446</v>
      </c>
    </row>
    <row r="14" spans="2:54" ht="15">
      <c r="B14" s="7"/>
      <c r="C14" s="14">
        <v>1</v>
      </c>
      <c r="D14" s="43" t="s">
        <v>55</v>
      </c>
      <c r="E14" s="41" t="str">
        <f>'Себестоимость 1 машино-часа'!D10</f>
        <v>Ford F-150 5,4i</v>
      </c>
      <c r="F14" s="45">
        <v>1</v>
      </c>
      <c r="G14" s="14">
        <v>2.32</v>
      </c>
      <c r="H14" s="14">
        <v>1.3</v>
      </c>
      <c r="I14" s="16">
        <f>H14*G14*$G$7</f>
        <v>663520</v>
      </c>
      <c r="J14" s="14">
        <v>1.25</v>
      </c>
      <c r="K14" s="16">
        <f>I14*(J14-1)</f>
        <v>165880</v>
      </c>
      <c r="L14" s="51">
        <v>1</v>
      </c>
      <c r="M14" s="16">
        <f>I14*(L14-1)</f>
        <v>0</v>
      </c>
      <c r="N14" s="16">
        <f>ROUND(I14+K14+M14,-1)</f>
        <v>829400</v>
      </c>
      <c r="O14" s="16">
        <f>N14*12*F14</f>
        <v>9952800</v>
      </c>
      <c r="P14" s="40">
        <v>0.25</v>
      </c>
      <c r="Q14" s="16">
        <f>O14*P14</f>
        <v>2488200</v>
      </c>
      <c r="R14" s="40">
        <v>0.2</v>
      </c>
      <c r="S14" s="16">
        <f>O14*R14</f>
        <v>1990560</v>
      </c>
      <c r="T14" s="40">
        <v>0</v>
      </c>
      <c r="U14" s="16">
        <f>O14*T14</f>
        <v>0</v>
      </c>
      <c r="V14" s="40">
        <v>0</v>
      </c>
      <c r="W14" s="16">
        <f>$G$8</f>
        <v>2037</v>
      </c>
      <c r="X14" s="16">
        <f>$G$10*V14*W14*F14</f>
        <v>0</v>
      </c>
      <c r="Y14" s="16">
        <f>ROUND(O14+Q14+S14+U14+X14,0)</f>
        <v>14431560</v>
      </c>
      <c r="Z14" s="16">
        <f>ROUND((Y14/12)/$G$9,0)</f>
        <v>7083</v>
      </c>
      <c r="AA14" s="8"/>
      <c r="AB14" s="77"/>
      <c r="AC14" s="103" t="s">
        <v>447</v>
      </c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</row>
    <row r="15" spans="2:54" ht="15">
      <c r="B15" s="7"/>
      <c r="C15" s="14">
        <f>C14+1</f>
        <v>2</v>
      </c>
      <c r="D15" s="43" t="s">
        <v>55</v>
      </c>
      <c r="E15" s="41" t="str">
        <f>'Себестоимость 1 машино-часа'!D11</f>
        <v>Fiat Doblo 1,9JTD</v>
      </c>
      <c r="F15" s="45">
        <v>2</v>
      </c>
      <c r="G15" s="14">
        <v>2.15</v>
      </c>
      <c r="H15" s="14">
        <v>1.3</v>
      </c>
      <c r="I15" s="16">
        <f aca="true" t="shared" si="0" ref="I15:I34">H15*G15*$G$7</f>
        <v>614900</v>
      </c>
      <c r="J15" s="14">
        <v>1.1</v>
      </c>
      <c r="K15" s="16">
        <f aca="true" t="shared" si="1" ref="K15:K34">I15*(J15-1)</f>
        <v>61490.00000000006</v>
      </c>
      <c r="L15" s="51">
        <v>1</v>
      </c>
      <c r="M15" s="16">
        <f aca="true" t="shared" si="2" ref="M15:M34">I15*(L15-1)</f>
        <v>0</v>
      </c>
      <c r="N15" s="16">
        <f aca="true" t="shared" si="3" ref="N15:N34">ROUND(I15+K15+M15,-1)</f>
        <v>676390</v>
      </c>
      <c r="O15" s="16">
        <f aca="true" t="shared" si="4" ref="O15:O34">N15*12*F15</f>
        <v>16233360</v>
      </c>
      <c r="P15" s="40">
        <v>0.2</v>
      </c>
      <c r="Q15" s="16">
        <f aca="true" t="shared" si="5" ref="Q15:Q34">O15*P15</f>
        <v>3246672</v>
      </c>
      <c r="R15" s="40">
        <v>0.15</v>
      </c>
      <c r="S15" s="16">
        <f aca="true" t="shared" si="6" ref="S15:S34">O15*R15</f>
        <v>2435004</v>
      </c>
      <c r="T15" s="40">
        <v>0</v>
      </c>
      <c r="U15" s="16">
        <f aca="true" t="shared" si="7" ref="U15:U34">O15*T15</f>
        <v>0</v>
      </c>
      <c r="V15" s="40">
        <v>0</v>
      </c>
      <c r="W15" s="16">
        <f aca="true" t="shared" si="8" ref="W15:W34">$G$8</f>
        <v>2037</v>
      </c>
      <c r="X15" s="16">
        <f>$G$10*V15*W15*F15</f>
        <v>0</v>
      </c>
      <c r="Y15" s="16">
        <f aca="true" t="shared" si="9" ref="Y15:Y34">ROUND(O15+Q15+S15+U15+X15,0)</f>
        <v>21915036</v>
      </c>
      <c r="Z15" s="16">
        <f aca="true" t="shared" si="10" ref="Z15:Z34">ROUND((Y15/12)/$G$9,0)</f>
        <v>10755</v>
      </c>
      <c r="AA15" s="8"/>
      <c r="AB15" s="77"/>
      <c r="AC15" s="103" t="s">
        <v>448</v>
      </c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</row>
    <row r="16" spans="2:54" ht="15">
      <c r="B16" s="7"/>
      <c r="C16" s="14">
        <f aca="true" t="shared" si="11" ref="C16:C34">C15+1</f>
        <v>3</v>
      </c>
      <c r="D16" s="43" t="s">
        <v>55</v>
      </c>
      <c r="E16" s="41" t="str">
        <f>'Себестоимость 1 машино-часа'!D12</f>
        <v>Mercedes Benz Vito 108  2,1CDi</v>
      </c>
      <c r="F16" s="45">
        <v>1</v>
      </c>
      <c r="G16" s="14">
        <v>2.15</v>
      </c>
      <c r="H16" s="14">
        <v>1.3</v>
      </c>
      <c r="I16" s="16">
        <f t="shared" si="0"/>
        <v>614900</v>
      </c>
      <c r="J16" s="14">
        <v>1.1</v>
      </c>
      <c r="K16" s="16">
        <f t="shared" si="1"/>
        <v>61490.00000000006</v>
      </c>
      <c r="L16" s="51">
        <v>1</v>
      </c>
      <c r="M16" s="16">
        <f t="shared" si="2"/>
        <v>0</v>
      </c>
      <c r="N16" s="16">
        <f t="shared" si="3"/>
        <v>676390</v>
      </c>
      <c r="O16" s="16">
        <f t="shared" si="4"/>
        <v>8116680</v>
      </c>
      <c r="P16" s="40">
        <v>0.2</v>
      </c>
      <c r="Q16" s="16">
        <f t="shared" si="5"/>
        <v>1623336</v>
      </c>
      <c r="R16" s="40">
        <v>0</v>
      </c>
      <c r="S16" s="16">
        <f t="shared" si="6"/>
        <v>0</v>
      </c>
      <c r="T16" s="40">
        <v>0</v>
      </c>
      <c r="U16" s="16">
        <f t="shared" si="7"/>
        <v>0</v>
      </c>
      <c r="V16" s="40">
        <v>0</v>
      </c>
      <c r="W16" s="16">
        <f t="shared" si="8"/>
        <v>2037</v>
      </c>
      <c r="X16" s="16">
        <f aca="true" t="shared" si="12" ref="X16:X34">$G$10*V16*W16*F16</f>
        <v>0</v>
      </c>
      <c r="Y16" s="16">
        <f t="shared" si="9"/>
        <v>9740016</v>
      </c>
      <c r="Z16" s="16">
        <f t="shared" si="10"/>
        <v>4780</v>
      </c>
      <c r="AA16" s="8"/>
      <c r="AB16" s="77"/>
      <c r="AC16" s="103" t="s">
        <v>449</v>
      </c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</row>
    <row r="17" spans="2:54" ht="10.5">
      <c r="B17" s="7"/>
      <c r="C17" s="14">
        <f t="shared" si="11"/>
        <v>4</v>
      </c>
      <c r="D17" s="43" t="s">
        <v>55</v>
      </c>
      <c r="E17" s="41" t="str">
        <f>'Себестоимость 1 машино-часа'!D13</f>
        <v>Renault Kangoo 1,9D</v>
      </c>
      <c r="F17" s="45">
        <v>1</v>
      </c>
      <c r="G17" s="14">
        <v>2.15</v>
      </c>
      <c r="H17" s="14">
        <v>1.3</v>
      </c>
      <c r="I17" s="16">
        <f t="shared" si="0"/>
        <v>614900</v>
      </c>
      <c r="J17" s="14">
        <v>1.1</v>
      </c>
      <c r="K17" s="16">
        <f t="shared" si="1"/>
        <v>61490.00000000006</v>
      </c>
      <c r="L17" s="51">
        <v>1</v>
      </c>
      <c r="M17" s="16">
        <f t="shared" si="2"/>
        <v>0</v>
      </c>
      <c r="N17" s="16">
        <f t="shared" si="3"/>
        <v>676390</v>
      </c>
      <c r="O17" s="16">
        <f t="shared" si="4"/>
        <v>8116680</v>
      </c>
      <c r="P17" s="40">
        <v>0.2</v>
      </c>
      <c r="Q17" s="16">
        <f t="shared" si="5"/>
        <v>1623336</v>
      </c>
      <c r="R17" s="40">
        <v>0.15</v>
      </c>
      <c r="S17" s="16">
        <f t="shared" si="6"/>
        <v>1217502</v>
      </c>
      <c r="T17" s="40">
        <v>0</v>
      </c>
      <c r="U17" s="16">
        <f t="shared" si="7"/>
        <v>0</v>
      </c>
      <c r="V17" s="40">
        <v>0</v>
      </c>
      <c r="W17" s="16">
        <f t="shared" si="8"/>
        <v>2037</v>
      </c>
      <c r="X17" s="16">
        <f t="shared" si="12"/>
        <v>0</v>
      </c>
      <c r="Y17" s="16">
        <f t="shared" si="9"/>
        <v>10957518</v>
      </c>
      <c r="Z17" s="16">
        <f t="shared" si="10"/>
        <v>5378</v>
      </c>
      <c r="AA17" s="8"/>
      <c r="AB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</row>
    <row r="18" spans="2:54" ht="10.5">
      <c r="B18" s="7"/>
      <c r="C18" s="14">
        <f t="shared" si="11"/>
        <v>5</v>
      </c>
      <c r="D18" s="43" t="s">
        <v>55</v>
      </c>
      <c r="E18" s="41" t="str">
        <f>'Себестоимость 1 машино-часа'!D14</f>
        <v>ГАЗ-27527</v>
      </c>
      <c r="F18" s="45">
        <v>1</v>
      </c>
      <c r="G18" s="14">
        <v>2.1</v>
      </c>
      <c r="H18" s="14">
        <v>1.3</v>
      </c>
      <c r="I18" s="16">
        <f t="shared" si="0"/>
        <v>600600.0000000001</v>
      </c>
      <c r="J18" s="14">
        <v>1.1</v>
      </c>
      <c r="K18" s="16">
        <f t="shared" si="1"/>
        <v>60060.000000000065</v>
      </c>
      <c r="L18" s="51">
        <v>1</v>
      </c>
      <c r="M18" s="16">
        <f t="shared" si="2"/>
        <v>0</v>
      </c>
      <c r="N18" s="16">
        <f t="shared" si="3"/>
        <v>660660</v>
      </c>
      <c r="O18" s="16">
        <f t="shared" si="4"/>
        <v>7927920</v>
      </c>
      <c r="P18" s="40">
        <v>0.15</v>
      </c>
      <c r="Q18" s="16">
        <f t="shared" si="5"/>
        <v>1189188</v>
      </c>
      <c r="R18" s="40">
        <v>0.05</v>
      </c>
      <c r="S18" s="16">
        <f t="shared" si="6"/>
        <v>396396</v>
      </c>
      <c r="T18" s="40">
        <v>0</v>
      </c>
      <c r="U18" s="16">
        <f t="shared" si="7"/>
        <v>0</v>
      </c>
      <c r="V18" s="40">
        <v>0</v>
      </c>
      <c r="W18" s="16">
        <f t="shared" si="8"/>
        <v>2037</v>
      </c>
      <c r="X18" s="16">
        <f t="shared" si="12"/>
        <v>0</v>
      </c>
      <c r="Y18" s="16">
        <f t="shared" si="9"/>
        <v>9513504</v>
      </c>
      <c r="Z18" s="16">
        <f t="shared" si="10"/>
        <v>4669</v>
      </c>
      <c r="AA18" s="8"/>
      <c r="AB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</row>
    <row r="19" spans="2:54" ht="15">
      <c r="B19" s="7"/>
      <c r="C19" s="14">
        <f t="shared" si="11"/>
        <v>6</v>
      </c>
      <c r="D19" s="43"/>
      <c r="E19" s="14">
        <f>'Себестоимость 1 машино-часа'!D15</f>
        <v>0</v>
      </c>
      <c r="F19" s="43"/>
      <c r="G19" s="43"/>
      <c r="H19" s="43"/>
      <c r="I19" s="16">
        <f t="shared" si="0"/>
        <v>0</v>
      </c>
      <c r="J19" s="43"/>
      <c r="K19" s="16">
        <f t="shared" si="1"/>
        <v>0</v>
      </c>
      <c r="L19" s="43"/>
      <c r="M19" s="16">
        <f t="shared" si="2"/>
        <v>0</v>
      </c>
      <c r="N19" s="16">
        <f t="shared" si="3"/>
        <v>0</v>
      </c>
      <c r="O19" s="16">
        <f t="shared" si="4"/>
        <v>0</v>
      </c>
      <c r="P19" s="40"/>
      <c r="Q19" s="16">
        <f t="shared" si="5"/>
        <v>0</v>
      </c>
      <c r="R19" s="40"/>
      <c r="S19" s="16">
        <f t="shared" si="6"/>
        <v>0</v>
      </c>
      <c r="T19" s="40"/>
      <c r="U19" s="16">
        <f t="shared" si="7"/>
        <v>0</v>
      </c>
      <c r="V19" s="40"/>
      <c r="W19" s="16">
        <f t="shared" si="8"/>
        <v>2037</v>
      </c>
      <c r="X19" s="16">
        <f t="shared" si="12"/>
        <v>0</v>
      </c>
      <c r="Y19" s="16">
        <f t="shared" si="9"/>
        <v>0</v>
      </c>
      <c r="Z19" s="16">
        <f t="shared" si="10"/>
        <v>0</v>
      </c>
      <c r="AA19" s="8"/>
      <c r="AB19" s="77"/>
      <c r="AC19" s="103" t="s">
        <v>450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</row>
    <row r="20" spans="2:54" ht="15">
      <c r="B20" s="7"/>
      <c r="C20" s="14">
        <f t="shared" si="11"/>
        <v>7</v>
      </c>
      <c r="D20" s="43"/>
      <c r="E20" s="14">
        <f>'Себестоимость 1 машино-часа'!D16</f>
        <v>0</v>
      </c>
      <c r="F20" s="43"/>
      <c r="G20" s="43"/>
      <c r="H20" s="43"/>
      <c r="I20" s="16">
        <f t="shared" si="0"/>
        <v>0</v>
      </c>
      <c r="J20" s="43"/>
      <c r="K20" s="16">
        <f t="shared" si="1"/>
        <v>0</v>
      </c>
      <c r="L20" s="43"/>
      <c r="M20" s="16">
        <f t="shared" si="2"/>
        <v>0</v>
      </c>
      <c r="N20" s="16">
        <f t="shared" si="3"/>
        <v>0</v>
      </c>
      <c r="O20" s="16">
        <f t="shared" si="4"/>
        <v>0</v>
      </c>
      <c r="P20" s="40"/>
      <c r="Q20" s="16">
        <f t="shared" si="5"/>
        <v>0</v>
      </c>
      <c r="R20" s="40"/>
      <c r="S20" s="16">
        <f t="shared" si="6"/>
        <v>0</v>
      </c>
      <c r="T20" s="40"/>
      <c r="U20" s="16">
        <f t="shared" si="7"/>
        <v>0</v>
      </c>
      <c r="V20" s="40"/>
      <c r="W20" s="16">
        <f t="shared" si="8"/>
        <v>2037</v>
      </c>
      <c r="X20" s="16">
        <f t="shared" si="12"/>
        <v>0</v>
      </c>
      <c r="Y20" s="16">
        <f t="shared" si="9"/>
        <v>0</v>
      </c>
      <c r="Z20" s="16">
        <f t="shared" si="10"/>
        <v>0</v>
      </c>
      <c r="AA20" s="8"/>
      <c r="AB20" s="77"/>
      <c r="AC20" s="103" t="s">
        <v>410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</row>
    <row r="21" spans="2:54" ht="10.5">
      <c r="B21" s="7"/>
      <c r="C21" s="14">
        <f t="shared" si="11"/>
        <v>8</v>
      </c>
      <c r="D21" s="43"/>
      <c r="E21" s="14">
        <f>'Себестоимость 1 машино-часа'!D17</f>
        <v>0</v>
      </c>
      <c r="F21" s="43"/>
      <c r="G21" s="43"/>
      <c r="H21" s="43"/>
      <c r="I21" s="16">
        <f t="shared" si="0"/>
        <v>0</v>
      </c>
      <c r="J21" s="43"/>
      <c r="K21" s="16">
        <f t="shared" si="1"/>
        <v>0</v>
      </c>
      <c r="L21" s="43"/>
      <c r="M21" s="16">
        <f t="shared" si="2"/>
        <v>0</v>
      </c>
      <c r="N21" s="16">
        <f t="shared" si="3"/>
        <v>0</v>
      </c>
      <c r="O21" s="16">
        <f t="shared" si="4"/>
        <v>0</v>
      </c>
      <c r="P21" s="40"/>
      <c r="Q21" s="16">
        <f t="shared" si="5"/>
        <v>0</v>
      </c>
      <c r="R21" s="40"/>
      <c r="S21" s="16">
        <f t="shared" si="6"/>
        <v>0</v>
      </c>
      <c r="T21" s="40"/>
      <c r="U21" s="16">
        <f t="shared" si="7"/>
        <v>0</v>
      </c>
      <c r="V21" s="40"/>
      <c r="W21" s="16">
        <f t="shared" si="8"/>
        <v>2037</v>
      </c>
      <c r="X21" s="16">
        <f t="shared" si="12"/>
        <v>0</v>
      </c>
      <c r="Y21" s="16">
        <f t="shared" si="9"/>
        <v>0</v>
      </c>
      <c r="Z21" s="16">
        <f t="shared" si="10"/>
        <v>0</v>
      </c>
      <c r="AA21" s="8"/>
      <c r="AB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</row>
    <row r="22" spans="2:54" ht="10.5">
      <c r="B22" s="7"/>
      <c r="C22" s="14">
        <f t="shared" si="11"/>
        <v>9</v>
      </c>
      <c r="D22" s="43"/>
      <c r="E22" s="14">
        <f>'Себестоимость 1 машино-часа'!D18</f>
        <v>0</v>
      </c>
      <c r="F22" s="43"/>
      <c r="G22" s="43"/>
      <c r="H22" s="43"/>
      <c r="I22" s="16">
        <f t="shared" si="0"/>
        <v>0</v>
      </c>
      <c r="J22" s="43"/>
      <c r="K22" s="16">
        <f t="shared" si="1"/>
        <v>0</v>
      </c>
      <c r="L22" s="43"/>
      <c r="M22" s="16">
        <f t="shared" si="2"/>
        <v>0</v>
      </c>
      <c r="N22" s="16">
        <f t="shared" si="3"/>
        <v>0</v>
      </c>
      <c r="O22" s="16">
        <f t="shared" si="4"/>
        <v>0</v>
      </c>
      <c r="P22" s="40"/>
      <c r="Q22" s="16">
        <f t="shared" si="5"/>
        <v>0</v>
      </c>
      <c r="R22" s="40"/>
      <c r="S22" s="16">
        <f t="shared" si="6"/>
        <v>0</v>
      </c>
      <c r="T22" s="40"/>
      <c r="U22" s="16">
        <f t="shared" si="7"/>
        <v>0</v>
      </c>
      <c r="V22" s="40"/>
      <c r="W22" s="16">
        <f t="shared" si="8"/>
        <v>2037</v>
      </c>
      <c r="X22" s="16">
        <f t="shared" si="12"/>
        <v>0</v>
      </c>
      <c r="Y22" s="16">
        <f t="shared" si="9"/>
        <v>0</v>
      </c>
      <c r="Z22" s="16">
        <f t="shared" si="10"/>
        <v>0</v>
      </c>
      <c r="AA22" s="8"/>
      <c r="AB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</row>
    <row r="23" spans="2:54" ht="10.5">
      <c r="B23" s="7"/>
      <c r="C23" s="14">
        <f t="shared" si="11"/>
        <v>10</v>
      </c>
      <c r="D23" s="43"/>
      <c r="E23" s="14">
        <f>'Себестоимость 1 машино-часа'!D19</f>
        <v>0</v>
      </c>
      <c r="F23" s="43"/>
      <c r="G23" s="43"/>
      <c r="H23" s="43"/>
      <c r="I23" s="16">
        <f t="shared" si="0"/>
        <v>0</v>
      </c>
      <c r="J23" s="43"/>
      <c r="K23" s="16">
        <f t="shared" si="1"/>
        <v>0</v>
      </c>
      <c r="L23" s="43"/>
      <c r="M23" s="16">
        <f t="shared" si="2"/>
        <v>0</v>
      </c>
      <c r="N23" s="16">
        <f t="shared" si="3"/>
        <v>0</v>
      </c>
      <c r="O23" s="16">
        <f t="shared" si="4"/>
        <v>0</v>
      </c>
      <c r="P23" s="40"/>
      <c r="Q23" s="16">
        <f t="shared" si="5"/>
        <v>0</v>
      </c>
      <c r="R23" s="40"/>
      <c r="S23" s="16">
        <f t="shared" si="6"/>
        <v>0</v>
      </c>
      <c r="T23" s="40"/>
      <c r="U23" s="16">
        <f t="shared" si="7"/>
        <v>0</v>
      </c>
      <c r="V23" s="40"/>
      <c r="W23" s="16">
        <f t="shared" si="8"/>
        <v>2037</v>
      </c>
      <c r="X23" s="16">
        <f t="shared" si="12"/>
        <v>0</v>
      </c>
      <c r="Y23" s="16">
        <f t="shared" si="9"/>
        <v>0</v>
      </c>
      <c r="Z23" s="16">
        <f t="shared" si="10"/>
        <v>0</v>
      </c>
      <c r="AA23" s="8"/>
      <c r="AB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</row>
    <row r="24" spans="2:54" ht="10.5">
      <c r="B24" s="7"/>
      <c r="C24" s="14">
        <f t="shared" si="11"/>
        <v>11</v>
      </c>
      <c r="D24" s="43"/>
      <c r="E24" s="14">
        <f>'Себестоимость 1 машино-часа'!D20</f>
        <v>0</v>
      </c>
      <c r="F24" s="43"/>
      <c r="G24" s="43"/>
      <c r="H24" s="43"/>
      <c r="I24" s="16">
        <f t="shared" si="0"/>
        <v>0</v>
      </c>
      <c r="J24" s="43"/>
      <c r="K24" s="16">
        <f t="shared" si="1"/>
        <v>0</v>
      </c>
      <c r="L24" s="43"/>
      <c r="M24" s="16">
        <f t="shared" si="2"/>
        <v>0</v>
      </c>
      <c r="N24" s="16">
        <f t="shared" si="3"/>
        <v>0</v>
      </c>
      <c r="O24" s="16">
        <f t="shared" si="4"/>
        <v>0</v>
      </c>
      <c r="P24" s="40"/>
      <c r="Q24" s="16">
        <f t="shared" si="5"/>
        <v>0</v>
      </c>
      <c r="R24" s="40"/>
      <c r="S24" s="16">
        <f t="shared" si="6"/>
        <v>0</v>
      </c>
      <c r="T24" s="40"/>
      <c r="U24" s="16">
        <f t="shared" si="7"/>
        <v>0</v>
      </c>
      <c r="V24" s="40"/>
      <c r="W24" s="16">
        <f t="shared" si="8"/>
        <v>2037</v>
      </c>
      <c r="X24" s="16">
        <f t="shared" si="12"/>
        <v>0</v>
      </c>
      <c r="Y24" s="16">
        <f t="shared" si="9"/>
        <v>0</v>
      </c>
      <c r="Z24" s="16">
        <f t="shared" si="10"/>
        <v>0</v>
      </c>
      <c r="AA24" s="8"/>
      <c r="AB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</row>
    <row r="25" spans="2:54" ht="10.5">
      <c r="B25" s="7"/>
      <c r="C25" s="14">
        <f t="shared" si="11"/>
        <v>12</v>
      </c>
      <c r="D25" s="43"/>
      <c r="E25" s="14">
        <f>'Себестоимость 1 машино-часа'!D21</f>
        <v>0</v>
      </c>
      <c r="F25" s="43"/>
      <c r="G25" s="43"/>
      <c r="H25" s="43"/>
      <c r="I25" s="16">
        <f t="shared" si="0"/>
        <v>0</v>
      </c>
      <c r="J25" s="43"/>
      <c r="K25" s="16">
        <f t="shared" si="1"/>
        <v>0</v>
      </c>
      <c r="L25" s="43"/>
      <c r="M25" s="16">
        <f t="shared" si="2"/>
        <v>0</v>
      </c>
      <c r="N25" s="16">
        <f t="shared" si="3"/>
        <v>0</v>
      </c>
      <c r="O25" s="16">
        <f t="shared" si="4"/>
        <v>0</v>
      </c>
      <c r="P25" s="40"/>
      <c r="Q25" s="16">
        <f t="shared" si="5"/>
        <v>0</v>
      </c>
      <c r="R25" s="40"/>
      <c r="S25" s="16">
        <f t="shared" si="6"/>
        <v>0</v>
      </c>
      <c r="T25" s="40"/>
      <c r="U25" s="16">
        <f t="shared" si="7"/>
        <v>0</v>
      </c>
      <c r="V25" s="40"/>
      <c r="W25" s="16">
        <f t="shared" si="8"/>
        <v>2037</v>
      </c>
      <c r="X25" s="16">
        <f t="shared" si="12"/>
        <v>0</v>
      </c>
      <c r="Y25" s="16">
        <f t="shared" si="9"/>
        <v>0</v>
      </c>
      <c r="Z25" s="16">
        <f t="shared" si="10"/>
        <v>0</v>
      </c>
      <c r="AA25" s="8"/>
      <c r="AB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</row>
    <row r="26" spans="2:54" ht="10.5">
      <c r="B26" s="7"/>
      <c r="C26" s="14">
        <f t="shared" si="11"/>
        <v>13</v>
      </c>
      <c r="D26" s="43"/>
      <c r="E26" s="14">
        <f>'Себестоимость 1 машино-часа'!D22</f>
        <v>0</v>
      </c>
      <c r="F26" s="43"/>
      <c r="G26" s="43"/>
      <c r="H26" s="43"/>
      <c r="I26" s="16">
        <f t="shared" si="0"/>
        <v>0</v>
      </c>
      <c r="J26" s="43"/>
      <c r="K26" s="16">
        <f t="shared" si="1"/>
        <v>0</v>
      </c>
      <c r="L26" s="43"/>
      <c r="M26" s="16">
        <f t="shared" si="2"/>
        <v>0</v>
      </c>
      <c r="N26" s="16">
        <f t="shared" si="3"/>
        <v>0</v>
      </c>
      <c r="O26" s="16">
        <f t="shared" si="4"/>
        <v>0</v>
      </c>
      <c r="P26" s="40"/>
      <c r="Q26" s="16">
        <f t="shared" si="5"/>
        <v>0</v>
      </c>
      <c r="R26" s="40"/>
      <c r="S26" s="16">
        <f t="shared" si="6"/>
        <v>0</v>
      </c>
      <c r="T26" s="40"/>
      <c r="U26" s="16">
        <f t="shared" si="7"/>
        <v>0</v>
      </c>
      <c r="V26" s="40"/>
      <c r="W26" s="16">
        <f t="shared" si="8"/>
        <v>2037</v>
      </c>
      <c r="X26" s="16">
        <f t="shared" si="12"/>
        <v>0</v>
      </c>
      <c r="Y26" s="16">
        <f t="shared" si="9"/>
        <v>0</v>
      </c>
      <c r="Z26" s="16">
        <f t="shared" si="10"/>
        <v>0</v>
      </c>
      <c r="AA26" s="8"/>
      <c r="AB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</row>
    <row r="27" spans="2:54" ht="10.5">
      <c r="B27" s="7"/>
      <c r="C27" s="14">
        <f t="shared" si="11"/>
        <v>14</v>
      </c>
      <c r="D27" s="43"/>
      <c r="E27" s="14">
        <f>'Себестоимость 1 машино-часа'!D23</f>
        <v>0</v>
      </c>
      <c r="F27" s="43"/>
      <c r="G27" s="43"/>
      <c r="H27" s="43"/>
      <c r="I27" s="16">
        <f t="shared" si="0"/>
        <v>0</v>
      </c>
      <c r="J27" s="43"/>
      <c r="K27" s="16">
        <f t="shared" si="1"/>
        <v>0</v>
      </c>
      <c r="L27" s="43"/>
      <c r="M27" s="16">
        <f t="shared" si="2"/>
        <v>0</v>
      </c>
      <c r="N27" s="16">
        <f t="shared" si="3"/>
        <v>0</v>
      </c>
      <c r="O27" s="16">
        <f t="shared" si="4"/>
        <v>0</v>
      </c>
      <c r="P27" s="40"/>
      <c r="Q27" s="16">
        <f t="shared" si="5"/>
        <v>0</v>
      </c>
      <c r="R27" s="40"/>
      <c r="S27" s="16">
        <f t="shared" si="6"/>
        <v>0</v>
      </c>
      <c r="T27" s="40"/>
      <c r="U27" s="16">
        <f t="shared" si="7"/>
        <v>0</v>
      </c>
      <c r="V27" s="40"/>
      <c r="W27" s="16">
        <f t="shared" si="8"/>
        <v>2037</v>
      </c>
      <c r="X27" s="16">
        <f t="shared" si="12"/>
        <v>0</v>
      </c>
      <c r="Y27" s="16">
        <f t="shared" si="9"/>
        <v>0</v>
      </c>
      <c r="Z27" s="16">
        <f t="shared" si="10"/>
        <v>0</v>
      </c>
      <c r="AA27" s="8"/>
      <c r="AB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</row>
    <row r="28" spans="2:54" ht="10.5">
      <c r="B28" s="7"/>
      <c r="C28" s="14">
        <f t="shared" si="11"/>
        <v>15</v>
      </c>
      <c r="D28" s="43"/>
      <c r="E28" s="14">
        <f>'Себестоимость 1 машино-часа'!D24</f>
        <v>0</v>
      </c>
      <c r="F28" s="43"/>
      <c r="G28" s="43"/>
      <c r="H28" s="43"/>
      <c r="I28" s="16">
        <f t="shared" si="0"/>
        <v>0</v>
      </c>
      <c r="J28" s="43"/>
      <c r="K28" s="16">
        <f t="shared" si="1"/>
        <v>0</v>
      </c>
      <c r="L28" s="43"/>
      <c r="M28" s="16">
        <f t="shared" si="2"/>
        <v>0</v>
      </c>
      <c r="N28" s="16">
        <f t="shared" si="3"/>
        <v>0</v>
      </c>
      <c r="O28" s="16">
        <f t="shared" si="4"/>
        <v>0</v>
      </c>
      <c r="P28" s="40"/>
      <c r="Q28" s="16">
        <f t="shared" si="5"/>
        <v>0</v>
      </c>
      <c r="R28" s="40"/>
      <c r="S28" s="16">
        <f t="shared" si="6"/>
        <v>0</v>
      </c>
      <c r="T28" s="40"/>
      <c r="U28" s="16">
        <f t="shared" si="7"/>
        <v>0</v>
      </c>
      <c r="V28" s="40"/>
      <c r="W28" s="16">
        <f t="shared" si="8"/>
        <v>2037</v>
      </c>
      <c r="X28" s="16">
        <f t="shared" si="12"/>
        <v>0</v>
      </c>
      <c r="Y28" s="16">
        <f t="shared" si="9"/>
        <v>0</v>
      </c>
      <c r="Z28" s="16">
        <f t="shared" si="10"/>
        <v>0</v>
      </c>
      <c r="AA28" s="8"/>
      <c r="AB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</row>
    <row r="29" spans="2:54" ht="10.5">
      <c r="B29" s="7"/>
      <c r="C29" s="14">
        <f t="shared" si="11"/>
        <v>16</v>
      </c>
      <c r="D29" s="43"/>
      <c r="E29" s="14">
        <f>'Себестоимость 1 машино-часа'!D25</f>
        <v>0</v>
      </c>
      <c r="F29" s="43"/>
      <c r="G29" s="43"/>
      <c r="H29" s="43"/>
      <c r="I29" s="16">
        <f t="shared" si="0"/>
        <v>0</v>
      </c>
      <c r="J29" s="43"/>
      <c r="K29" s="16">
        <f t="shared" si="1"/>
        <v>0</v>
      </c>
      <c r="L29" s="43"/>
      <c r="M29" s="16">
        <f t="shared" si="2"/>
        <v>0</v>
      </c>
      <c r="N29" s="16">
        <f t="shared" si="3"/>
        <v>0</v>
      </c>
      <c r="O29" s="16">
        <f t="shared" si="4"/>
        <v>0</v>
      </c>
      <c r="P29" s="40"/>
      <c r="Q29" s="16">
        <f t="shared" si="5"/>
        <v>0</v>
      </c>
      <c r="R29" s="40"/>
      <c r="S29" s="16">
        <f t="shared" si="6"/>
        <v>0</v>
      </c>
      <c r="T29" s="40"/>
      <c r="U29" s="16">
        <f t="shared" si="7"/>
        <v>0</v>
      </c>
      <c r="V29" s="40"/>
      <c r="W29" s="16">
        <f t="shared" si="8"/>
        <v>2037</v>
      </c>
      <c r="X29" s="16">
        <f t="shared" si="12"/>
        <v>0</v>
      </c>
      <c r="Y29" s="16">
        <f t="shared" si="9"/>
        <v>0</v>
      </c>
      <c r="Z29" s="16">
        <f t="shared" si="10"/>
        <v>0</v>
      </c>
      <c r="AA29" s="8"/>
      <c r="AB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</row>
    <row r="30" spans="2:54" ht="10.5">
      <c r="B30" s="7"/>
      <c r="C30" s="14">
        <f t="shared" si="11"/>
        <v>17</v>
      </c>
      <c r="D30" s="43"/>
      <c r="E30" s="14">
        <f>'Себестоимость 1 машино-часа'!D26</f>
        <v>0</v>
      </c>
      <c r="F30" s="43"/>
      <c r="G30" s="43"/>
      <c r="H30" s="43"/>
      <c r="I30" s="16">
        <f t="shared" si="0"/>
        <v>0</v>
      </c>
      <c r="J30" s="43"/>
      <c r="K30" s="16">
        <f t="shared" si="1"/>
        <v>0</v>
      </c>
      <c r="L30" s="43"/>
      <c r="M30" s="16">
        <f t="shared" si="2"/>
        <v>0</v>
      </c>
      <c r="N30" s="16">
        <f t="shared" si="3"/>
        <v>0</v>
      </c>
      <c r="O30" s="16">
        <f t="shared" si="4"/>
        <v>0</v>
      </c>
      <c r="P30" s="40"/>
      <c r="Q30" s="16">
        <f t="shared" si="5"/>
        <v>0</v>
      </c>
      <c r="R30" s="40"/>
      <c r="S30" s="16">
        <f t="shared" si="6"/>
        <v>0</v>
      </c>
      <c r="T30" s="40"/>
      <c r="U30" s="16">
        <f t="shared" si="7"/>
        <v>0</v>
      </c>
      <c r="V30" s="40"/>
      <c r="W30" s="16">
        <f t="shared" si="8"/>
        <v>2037</v>
      </c>
      <c r="X30" s="16">
        <f t="shared" si="12"/>
        <v>0</v>
      </c>
      <c r="Y30" s="16">
        <f t="shared" si="9"/>
        <v>0</v>
      </c>
      <c r="Z30" s="16">
        <f t="shared" si="10"/>
        <v>0</v>
      </c>
      <c r="AA30" s="8"/>
      <c r="AB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</row>
    <row r="31" spans="2:54" ht="10.5">
      <c r="B31" s="7"/>
      <c r="C31" s="14">
        <f t="shared" si="11"/>
        <v>18</v>
      </c>
      <c r="D31" s="43"/>
      <c r="E31" s="14">
        <f>'Себестоимость 1 машино-часа'!D27</f>
        <v>0</v>
      </c>
      <c r="F31" s="43"/>
      <c r="G31" s="43"/>
      <c r="H31" s="43"/>
      <c r="I31" s="16">
        <f t="shared" si="0"/>
        <v>0</v>
      </c>
      <c r="J31" s="43"/>
      <c r="K31" s="16">
        <f t="shared" si="1"/>
        <v>0</v>
      </c>
      <c r="L31" s="43"/>
      <c r="M31" s="16">
        <f t="shared" si="2"/>
        <v>0</v>
      </c>
      <c r="N31" s="16">
        <f t="shared" si="3"/>
        <v>0</v>
      </c>
      <c r="O31" s="16">
        <f t="shared" si="4"/>
        <v>0</v>
      </c>
      <c r="P31" s="40"/>
      <c r="Q31" s="16">
        <f t="shared" si="5"/>
        <v>0</v>
      </c>
      <c r="R31" s="40"/>
      <c r="S31" s="16">
        <f t="shared" si="6"/>
        <v>0</v>
      </c>
      <c r="T31" s="40"/>
      <c r="U31" s="16">
        <f t="shared" si="7"/>
        <v>0</v>
      </c>
      <c r="V31" s="40"/>
      <c r="W31" s="16">
        <f t="shared" si="8"/>
        <v>2037</v>
      </c>
      <c r="X31" s="16">
        <f t="shared" si="12"/>
        <v>0</v>
      </c>
      <c r="Y31" s="16">
        <f t="shared" si="9"/>
        <v>0</v>
      </c>
      <c r="Z31" s="16">
        <f t="shared" si="10"/>
        <v>0</v>
      </c>
      <c r="AA31" s="8"/>
      <c r="AB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</row>
    <row r="32" spans="2:54" ht="10.5">
      <c r="B32" s="7"/>
      <c r="C32" s="14">
        <f t="shared" si="11"/>
        <v>19</v>
      </c>
      <c r="D32" s="43"/>
      <c r="E32" s="14">
        <f>'Себестоимость 1 машино-часа'!D28</f>
        <v>0</v>
      </c>
      <c r="F32" s="43"/>
      <c r="G32" s="43"/>
      <c r="H32" s="43"/>
      <c r="I32" s="16">
        <f t="shared" si="0"/>
        <v>0</v>
      </c>
      <c r="J32" s="43"/>
      <c r="K32" s="16">
        <f t="shared" si="1"/>
        <v>0</v>
      </c>
      <c r="L32" s="43"/>
      <c r="M32" s="16">
        <f t="shared" si="2"/>
        <v>0</v>
      </c>
      <c r="N32" s="16">
        <f t="shared" si="3"/>
        <v>0</v>
      </c>
      <c r="O32" s="16">
        <f t="shared" si="4"/>
        <v>0</v>
      </c>
      <c r="P32" s="40"/>
      <c r="Q32" s="16">
        <f t="shared" si="5"/>
        <v>0</v>
      </c>
      <c r="R32" s="40"/>
      <c r="S32" s="16">
        <f t="shared" si="6"/>
        <v>0</v>
      </c>
      <c r="T32" s="40"/>
      <c r="U32" s="16">
        <f t="shared" si="7"/>
        <v>0</v>
      </c>
      <c r="V32" s="40"/>
      <c r="W32" s="16">
        <f t="shared" si="8"/>
        <v>2037</v>
      </c>
      <c r="X32" s="16">
        <f t="shared" si="12"/>
        <v>0</v>
      </c>
      <c r="Y32" s="16">
        <f t="shared" si="9"/>
        <v>0</v>
      </c>
      <c r="Z32" s="16">
        <f t="shared" si="10"/>
        <v>0</v>
      </c>
      <c r="AA32" s="8"/>
      <c r="AB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</row>
    <row r="33" spans="2:54" ht="10.5">
      <c r="B33" s="7"/>
      <c r="C33" s="14">
        <f t="shared" si="11"/>
        <v>20</v>
      </c>
      <c r="D33" s="43"/>
      <c r="E33" s="14">
        <f>'Себестоимость 1 машино-часа'!D29</f>
        <v>0</v>
      </c>
      <c r="F33" s="43"/>
      <c r="G33" s="43"/>
      <c r="H33" s="43"/>
      <c r="I33" s="16">
        <f t="shared" si="0"/>
        <v>0</v>
      </c>
      <c r="J33" s="43"/>
      <c r="K33" s="16">
        <f t="shared" si="1"/>
        <v>0</v>
      </c>
      <c r="L33" s="43"/>
      <c r="M33" s="16">
        <f t="shared" si="2"/>
        <v>0</v>
      </c>
      <c r="N33" s="16">
        <f t="shared" si="3"/>
        <v>0</v>
      </c>
      <c r="O33" s="16">
        <f t="shared" si="4"/>
        <v>0</v>
      </c>
      <c r="P33" s="40"/>
      <c r="Q33" s="16">
        <f t="shared" si="5"/>
        <v>0</v>
      </c>
      <c r="R33" s="40"/>
      <c r="S33" s="16">
        <f t="shared" si="6"/>
        <v>0</v>
      </c>
      <c r="T33" s="40"/>
      <c r="U33" s="16">
        <f t="shared" si="7"/>
        <v>0</v>
      </c>
      <c r="V33" s="40"/>
      <c r="W33" s="16">
        <f t="shared" si="8"/>
        <v>2037</v>
      </c>
      <c r="X33" s="16">
        <f t="shared" si="12"/>
        <v>0</v>
      </c>
      <c r="Y33" s="16">
        <f t="shared" si="9"/>
        <v>0</v>
      </c>
      <c r="Z33" s="16">
        <f t="shared" si="10"/>
        <v>0</v>
      </c>
      <c r="AA33" s="8"/>
      <c r="AB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</row>
    <row r="34" spans="2:54" ht="10.5">
      <c r="B34" s="7"/>
      <c r="C34" s="14">
        <f t="shared" si="11"/>
        <v>21</v>
      </c>
      <c r="D34" s="43"/>
      <c r="E34" s="14">
        <f>'Себестоимость 1 машино-часа'!D30</f>
        <v>0</v>
      </c>
      <c r="F34" s="43"/>
      <c r="G34" s="43"/>
      <c r="H34" s="43"/>
      <c r="I34" s="16">
        <f t="shared" si="0"/>
        <v>0</v>
      </c>
      <c r="J34" s="43"/>
      <c r="K34" s="16">
        <f t="shared" si="1"/>
        <v>0</v>
      </c>
      <c r="L34" s="43"/>
      <c r="M34" s="16">
        <f t="shared" si="2"/>
        <v>0</v>
      </c>
      <c r="N34" s="16">
        <f t="shared" si="3"/>
        <v>0</v>
      </c>
      <c r="O34" s="16">
        <f t="shared" si="4"/>
        <v>0</v>
      </c>
      <c r="P34" s="40"/>
      <c r="Q34" s="16">
        <f t="shared" si="5"/>
        <v>0</v>
      </c>
      <c r="R34" s="40"/>
      <c r="S34" s="16">
        <f t="shared" si="6"/>
        <v>0</v>
      </c>
      <c r="T34" s="40"/>
      <c r="U34" s="16">
        <f t="shared" si="7"/>
        <v>0</v>
      </c>
      <c r="V34" s="40"/>
      <c r="W34" s="16">
        <f t="shared" si="8"/>
        <v>2037</v>
      </c>
      <c r="X34" s="16">
        <f t="shared" si="12"/>
        <v>0</v>
      </c>
      <c r="Y34" s="16">
        <f t="shared" si="9"/>
        <v>0</v>
      </c>
      <c r="Z34" s="16">
        <f t="shared" si="10"/>
        <v>0</v>
      </c>
      <c r="AA34" s="8"/>
      <c r="AB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</row>
    <row r="35" spans="2:54" ht="10.5">
      <c r="B35" s="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/>
      <c r="Z35" s="11"/>
      <c r="AA35" s="8"/>
      <c r="AB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</row>
    <row r="36" spans="2:67" ht="11.25" thickBo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7"/>
      <c r="AB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</row>
    <row r="37" spans="29:67" ht="10.5">
      <c r="AC37" s="23"/>
      <c r="BC37" s="29"/>
      <c r="BD37" s="29"/>
      <c r="BE37" s="30"/>
      <c r="BF37" s="29"/>
      <c r="BG37" s="29"/>
      <c r="BH37" s="29"/>
      <c r="BI37" s="29"/>
      <c r="BJ37" s="29"/>
      <c r="BK37" s="29"/>
      <c r="BL37" s="29"/>
      <c r="BM37" s="29"/>
      <c r="BN37" s="29"/>
      <c r="BO37" s="29"/>
    </row>
    <row r="38" spans="31:67" ht="10.5">
      <c r="AE38" s="24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30"/>
      <c r="BA38" s="30"/>
      <c r="BB38" s="30"/>
      <c r="BC38" s="30"/>
      <c r="BD38" s="30"/>
      <c r="BE38" s="30"/>
      <c r="BF38" s="29"/>
      <c r="BG38" s="29"/>
      <c r="BH38" s="29"/>
      <c r="BI38" s="29"/>
      <c r="BJ38" s="29"/>
      <c r="BK38" s="29"/>
      <c r="BL38" s="29"/>
      <c r="BM38" s="29"/>
      <c r="BN38" s="29"/>
      <c r="BO38" s="29"/>
    </row>
    <row r="39" spans="3:67" ht="10.5">
      <c r="C39" s="31"/>
      <c r="D39" s="31"/>
      <c r="AE39" s="28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30"/>
      <c r="BA39" s="30"/>
      <c r="BB39" s="30"/>
      <c r="BC39" s="30"/>
      <c r="BD39" s="30"/>
      <c r="BE39" s="30"/>
      <c r="BF39" s="29"/>
      <c r="BG39" s="29"/>
      <c r="BH39" s="29"/>
      <c r="BI39" s="29"/>
      <c r="BJ39" s="29"/>
      <c r="BK39" s="29"/>
      <c r="BL39" s="29"/>
      <c r="BM39" s="29"/>
      <c r="BN39" s="29"/>
      <c r="BO39" s="29"/>
    </row>
    <row r="40" spans="3:67" ht="10.5">
      <c r="C40" s="31"/>
      <c r="D40" s="31"/>
      <c r="AE40" s="28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30"/>
      <c r="BA40" s="30"/>
      <c r="BB40" s="30"/>
      <c r="BC40" s="30"/>
      <c r="BD40" s="30"/>
      <c r="BE40" s="30"/>
      <c r="BF40" s="29"/>
      <c r="BG40" s="29"/>
      <c r="BH40" s="29"/>
      <c r="BI40" s="29"/>
      <c r="BJ40" s="29"/>
      <c r="BK40" s="29"/>
      <c r="BL40" s="29"/>
      <c r="BM40" s="29"/>
      <c r="BN40" s="29"/>
      <c r="BO40" s="29"/>
    </row>
    <row r="41" spans="3:67" ht="10.5">
      <c r="C41" s="31"/>
      <c r="D41" s="31"/>
      <c r="AE41" s="28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30"/>
      <c r="BA41" s="30"/>
      <c r="BB41" s="30"/>
      <c r="BC41" s="30"/>
      <c r="BD41" s="30"/>
      <c r="BE41" s="30"/>
      <c r="BF41" s="29"/>
      <c r="BG41" s="29"/>
      <c r="BH41" s="29"/>
      <c r="BI41" s="29"/>
      <c r="BJ41" s="29"/>
      <c r="BK41" s="29"/>
      <c r="BL41" s="29"/>
      <c r="BM41" s="29"/>
      <c r="BN41" s="29"/>
      <c r="BO41" s="29"/>
    </row>
    <row r="42" spans="3:67" ht="10.5">
      <c r="C42" s="31"/>
      <c r="D42" s="31"/>
      <c r="AE42" s="28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30"/>
      <c r="BA42" s="30"/>
      <c r="BB42" s="30"/>
      <c r="BC42" s="30"/>
      <c r="BD42" s="30"/>
      <c r="BE42" s="30"/>
      <c r="BF42" s="29"/>
      <c r="BG42" s="29"/>
      <c r="BH42" s="29"/>
      <c r="BI42" s="29"/>
      <c r="BJ42" s="29"/>
      <c r="BK42" s="29"/>
      <c r="BL42" s="29"/>
      <c r="BM42" s="29"/>
      <c r="BN42" s="29"/>
      <c r="BO42" s="29"/>
    </row>
    <row r="43" spans="3:67" ht="10.5">
      <c r="C43" s="31"/>
      <c r="D43" s="31"/>
      <c r="AE43" s="28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30"/>
      <c r="BA43" s="30"/>
      <c r="BB43" s="30"/>
      <c r="BC43" s="30"/>
      <c r="BD43" s="30"/>
      <c r="BE43" s="30"/>
      <c r="BF43" s="29"/>
      <c r="BG43" s="29"/>
      <c r="BH43" s="29"/>
      <c r="BI43" s="29"/>
      <c r="BJ43" s="29"/>
      <c r="BK43" s="29"/>
      <c r="BL43" s="29"/>
      <c r="BM43" s="29"/>
      <c r="BN43" s="29"/>
      <c r="BO43" s="29"/>
    </row>
    <row r="44" spans="3:67" ht="10.5">
      <c r="C44" s="31"/>
      <c r="D44" s="31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30"/>
      <c r="BA44" s="30"/>
      <c r="BB44" s="30"/>
      <c r="BC44" s="30"/>
      <c r="BD44" s="30"/>
      <c r="BE44" s="30"/>
      <c r="BF44" s="29"/>
      <c r="BG44" s="29"/>
      <c r="BH44" s="29"/>
      <c r="BI44" s="29"/>
      <c r="BJ44" s="29"/>
      <c r="BK44" s="29"/>
      <c r="BL44" s="29"/>
      <c r="BM44" s="29"/>
      <c r="BN44" s="29"/>
      <c r="BO44" s="29"/>
    </row>
    <row r="45" spans="3:67" ht="10.5">
      <c r="C45" s="31"/>
      <c r="D45" s="31"/>
      <c r="AE45" s="28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</row>
    <row r="46" spans="3:67" ht="10.5">
      <c r="C46" s="31"/>
      <c r="D46" s="31"/>
      <c r="AE46" s="28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</row>
    <row r="47" spans="3:67" ht="10.5">
      <c r="C47" s="31"/>
      <c r="D47" s="31"/>
      <c r="AE47" s="28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</row>
    <row r="48" spans="3:67" ht="10.5">
      <c r="C48" s="31"/>
      <c r="D48" s="31"/>
      <c r="AE48" s="28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</row>
    <row r="49" spans="3:67" ht="10.5">
      <c r="C49" s="31"/>
      <c r="D49" s="31"/>
      <c r="AE49" s="28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</row>
    <row r="50" spans="3:67" ht="10.5">
      <c r="C50" s="31"/>
      <c r="D50" s="31"/>
      <c r="AE50" s="28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</row>
    <row r="51" spans="3:4" ht="10.5">
      <c r="C51" s="31"/>
      <c r="D51" s="31"/>
    </row>
  </sheetData>
  <sheetProtection/>
  <mergeCells count="23">
    <mergeCell ref="R12:S12"/>
    <mergeCell ref="L12:M12"/>
    <mergeCell ref="N12:N13"/>
    <mergeCell ref="O12:O13"/>
    <mergeCell ref="P12:Q12"/>
    <mergeCell ref="T12:U12"/>
    <mergeCell ref="C8:F8"/>
    <mergeCell ref="C4:Z4"/>
    <mergeCell ref="C5:Z5"/>
    <mergeCell ref="C6:Z6"/>
    <mergeCell ref="C12:C13"/>
    <mergeCell ref="D12:D13"/>
    <mergeCell ref="V12:X12"/>
    <mergeCell ref="Y12:Y13"/>
    <mergeCell ref="J12:K12"/>
    <mergeCell ref="I12:I13"/>
    <mergeCell ref="C10:F10"/>
    <mergeCell ref="C9:F9"/>
    <mergeCell ref="C7:F7"/>
    <mergeCell ref="E12:E13"/>
    <mergeCell ref="F12:F13"/>
    <mergeCell ref="G12:G13"/>
    <mergeCell ref="H12:H13"/>
  </mergeCells>
  <hyperlinks>
    <hyperlink ref="AC4" location="'Калькуляция машино-часа'!A1" display="Калькуляция стоимости 1 часа использования"/>
    <hyperlink ref="AC5" location="'Себестоимость 1 машино-часа'!A1" display="Расчет  себестоимости 1 часа использования"/>
    <hyperlink ref="AC6" location="'ЗП водителей'!A1" display="Расчет затрат на заработную плату водителей"/>
    <hyperlink ref="AC7" location="амортизация!A1" display="Расчет амортизационных отчислений"/>
    <hyperlink ref="AC8" location="'расчет % ОПР'!A1" display="Расчет процента общепроизводственных расходов"/>
    <hyperlink ref="AC9" location="'расчет % ОХР'!A1" display="Расчет процента общехозяйственных расходов"/>
    <hyperlink ref="AC11" location="'Калькуляция 1 км'!A1" display="Калькуляция стоимости 1 км пробега (с топливом)"/>
    <hyperlink ref="AC12" location="'Калькуляция 1 км (без топлива)'!A1" display="Калькуляция стоимости 1 км пробега (без топлива)"/>
    <hyperlink ref="AC13" location="'Себестоимость 1 км'!A1" display="Расчет себестоимости 1 часа использования"/>
    <hyperlink ref="AC14" location="техобслуживание!A1" display="Расчет затрат на техническое обслуживание на 1 км пробега автотранспорта"/>
    <hyperlink ref="AC15" location="топливо!A1" display="Расчет затрат на топливо на 1 км пробега автотранспорта"/>
    <hyperlink ref="AC16" location="'Затраты на восстановление шин'!A1" display="Расчет  затрат на восстановление шин на 1 км пробега автотранспорта"/>
    <hyperlink ref="AC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AC20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scale="81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3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Z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2.28125" style="1" customWidth="1"/>
    <col min="3" max="3" width="3.421875" style="1" customWidth="1"/>
    <col min="4" max="4" width="23.140625" style="1" bestFit="1" customWidth="1"/>
    <col min="5" max="5" width="12.00390625" style="1" bestFit="1" customWidth="1"/>
    <col min="6" max="6" width="8.7109375" style="1" customWidth="1"/>
    <col min="7" max="7" width="10.421875" style="1" customWidth="1"/>
    <col min="8" max="8" width="8.8515625" style="1" customWidth="1"/>
    <col min="9" max="9" width="9.421875" style="1" customWidth="1"/>
    <col min="10" max="10" width="9.8515625" style="1" customWidth="1"/>
    <col min="11" max="11" width="9.421875" style="1" customWidth="1"/>
    <col min="12" max="12" width="2.140625" style="1" customWidth="1"/>
    <col min="13" max="13" width="1.8515625" style="1" customWidth="1"/>
    <col min="14" max="14" width="73.28125" style="1" customWidth="1"/>
    <col min="15" max="16384" width="9.140625" style="1" customWidth="1"/>
  </cols>
  <sheetData>
    <row r="1" spans="1:2" ht="11.25" thickBot="1">
      <c r="A1" s="1"/>
      <c r="B1" s="2" t="s">
        <v>0</v>
      </c>
    </row>
    <row r="2" spans="2:12" ht="10.5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8"/>
    </row>
    <row r="4" spans="2:14" ht="15">
      <c r="B4" s="7"/>
      <c r="C4" s="108" t="s">
        <v>32</v>
      </c>
      <c r="D4" s="108"/>
      <c r="E4" s="108"/>
      <c r="F4" s="108"/>
      <c r="G4" s="108"/>
      <c r="H4" s="108"/>
      <c r="I4" s="108"/>
      <c r="J4" s="108"/>
      <c r="K4" s="108"/>
      <c r="L4" s="8"/>
      <c r="N4" s="103" t="s">
        <v>439</v>
      </c>
    </row>
    <row r="5" spans="2:14" ht="15">
      <c r="B5" s="7"/>
      <c r="C5" s="109" t="s">
        <v>70</v>
      </c>
      <c r="D5" s="109"/>
      <c r="E5" s="109"/>
      <c r="F5" s="109"/>
      <c r="G5" s="109"/>
      <c r="H5" s="109"/>
      <c r="I5" s="109"/>
      <c r="J5" s="109"/>
      <c r="K5" s="109"/>
      <c r="L5" s="8"/>
      <c r="N5" s="103" t="s">
        <v>440</v>
      </c>
    </row>
    <row r="6" spans="2:14" ht="24.75" customHeight="1">
      <c r="B6" s="7"/>
      <c r="C6" s="110" t="str">
        <f>'Калькуляция машино-часа'!C10:I10</f>
        <v>Грузопассажирский автомобиль (грузоподъемность 2 т и более, вместимость 5 пассажиро-мест и более)</v>
      </c>
      <c r="D6" s="110"/>
      <c r="E6" s="110"/>
      <c r="F6" s="110"/>
      <c r="G6" s="110"/>
      <c r="H6" s="110"/>
      <c r="I6" s="110"/>
      <c r="J6" s="110"/>
      <c r="K6" s="110"/>
      <c r="L6" s="8"/>
      <c r="N6" s="103" t="s">
        <v>441</v>
      </c>
    </row>
    <row r="7" spans="2:14" ht="15">
      <c r="B7" s="7"/>
      <c r="C7" s="9"/>
      <c r="D7" s="9"/>
      <c r="E7" s="9"/>
      <c r="F7" s="9"/>
      <c r="G7" s="9"/>
      <c r="H7" s="9"/>
      <c r="I7" s="9"/>
      <c r="J7" s="9"/>
      <c r="K7" s="9"/>
      <c r="L7" s="8"/>
      <c r="N7" s="103" t="s">
        <v>442</v>
      </c>
    </row>
    <row r="8" spans="2:14" ht="15">
      <c r="B8" s="7"/>
      <c r="C8" s="10"/>
      <c r="D8" s="10"/>
      <c r="E8" s="10"/>
      <c r="F8" s="10"/>
      <c r="G8" s="10"/>
      <c r="H8" s="10"/>
      <c r="I8" s="10"/>
      <c r="J8" s="10"/>
      <c r="K8" s="10"/>
      <c r="L8" s="8"/>
      <c r="N8" s="103" t="s">
        <v>99</v>
      </c>
    </row>
    <row r="9" spans="2:14" ht="45">
      <c r="B9" s="7"/>
      <c r="C9" s="44" t="s">
        <v>1</v>
      </c>
      <c r="D9" s="44" t="s">
        <v>34</v>
      </c>
      <c r="E9" s="44" t="s">
        <v>35</v>
      </c>
      <c r="F9" s="44" t="s">
        <v>36</v>
      </c>
      <c r="G9" s="44" t="s">
        <v>38</v>
      </c>
      <c r="H9" s="44" t="s">
        <v>73</v>
      </c>
      <c r="I9" s="44" t="s">
        <v>72</v>
      </c>
      <c r="J9" s="44" t="s">
        <v>74</v>
      </c>
      <c r="K9" s="44" t="s">
        <v>71</v>
      </c>
      <c r="L9" s="8"/>
      <c r="N9" s="103" t="s">
        <v>115</v>
      </c>
    </row>
    <row r="10" spans="2:12" ht="10.5">
      <c r="B10" s="7"/>
      <c r="C10" s="14">
        <v>1</v>
      </c>
      <c r="D10" s="55" t="str">
        <f>'Себестоимость 1 машино-часа'!D10</f>
        <v>Ford F-150 5,4i</v>
      </c>
      <c r="E10" s="54" t="str">
        <f>'Себестоимость 1 машино-часа'!E10</f>
        <v>221 kW, 4АКПП</v>
      </c>
      <c r="F10" s="54" t="str">
        <f>'Себестоимость 1 машино-часа'!F10</f>
        <v>6765 АА-5</v>
      </c>
      <c r="G10" s="54" t="str">
        <f>'Себестоимость 1 машино-часа'!G10</f>
        <v>Трансп. цех</v>
      </c>
      <c r="H10" s="56">
        <v>63000000</v>
      </c>
      <c r="I10" s="57">
        <v>0.02083333</v>
      </c>
      <c r="J10" s="16">
        <f>ROUND(I10*H10,0)</f>
        <v>1312500</v>
      </c>
      <c r="K10" s="16">
        <f>ROUND(J10/'ЗП водителей'!$G$9,0)</f>
        <v>7730</v>
      </c>
      <c r="L10" s="8"/>
    </row>
    <row r="11" spans="2:14" ht="15">
      <c r="B11" s="7"/>
      <c r="C11" s="14">
        <f>C10+1</f>
        <v>2</v>
      </c>
      <c r="D11" s="55" t="str">
        <f>'Себестоимость 1 машино-часа'!D11</f>
        <v>Fiat Doblo 1,9JTD</v>
      </c>
      <c r="E11" s="54" t="str">
        <f>'Себестоимость 1 машино-часа'!E11</f>
        <v>77 kW</v>
      </c>
      <c r="F11" s="54" t="str">
        <f>'Себестоимость 1 машино-часа'!F11</f>
        <v>5642 ВВ-5</v>
      </c>
      <c r="G11" s="54" t="str">
        <f>'Себестоимость 1 машино-часа'!G11</f>
        <v>Трансп. цех</v>
      </c>
      <c r="H11" s="56">
        <v>33000000</v>
      </c>
      <c r="I11" s="57">
        <v>0.04553731</v>
      </c>
      <c r="J11" s="16">
        <f aca="true" t="shared" si="0" ref="J11:J30">ROUND(I11*H11,0)</f>
        <v>1502731</v>
      </c>
      <c r="K11" s="16">
        <f>ROUND(J11/'ЗП водителей'!$G$9,0)</f>
        <v>8850</v>
      </c>
      <c r="L11" s="8"/>
      <c r="N11" s="103" t="s">
        <v>443</v>
      </c>
    </row>
    <row r="12" spans="2:14" ht="15">
      <c r="B12" s="7"/>
      <c r="C12" s="14">
        <f aca="true" t="shared" si="1" ref="C12:C30">C11+1</f>
        <v>3</v>
      </c>
      <c r="D12" s="55" t="str">
        <f>'Себестоимость 1 машино-часа'!D12</f>
        <v>Mercedes Benz Vito 108  2,1CDi</v>
      </c>
      <c r="E12" s="54" t="str">
        <f>'Себестоимость 1 машино-часа'!E12</f>
        <v>58 kW</v>
      </c>
      <c r="F12" s="54" t="str">
        <f>'Себестоимость 1 машино-часа'!F12</f>
        <v>4455 EA-5</v>
      </c>
      <c r="G12" s="54" t="str">
        <f>'Себестоимость 1 машино-часа'!G12</f>
        <v>Трансп. цех</v>
      </c>
      <c r="H12" s="56">
        <v>85000000</v>
      </c>
      <c r="I12" s="57">
        <v>0.0206445</v>
      </c>
      <c r="J12" s="16">
        <f t="shared" si="0"/>
        <v>1754783</v>
      </c>
      <c r="K12" s="16">
        <f>ROUND(J12/'ЗП водителей'!$G$9,0)</f>
        <v>10334</v>
      </c>
      <c r="L12" s="8"/>
      <c r="N12" s="103" t="s">
        <v>444</v>
      </c>
    </row>
    <row r="13" spans="2:14" ht="15">
      <c r="B13" s="7"/>
      <c r="C13" s="14">
        <f t="shared" si="1"/>
        <v>4</v>
      </c>
      <c r="D13" s="55" t="str">
        <f>'Себестоимость 1 машино-часа'!D13</f>
        <v>Renault Kangoo 1,9D</v>
      </c>
      <c r="E13" s="54" t="str">
        <f>'Себестоимость 1 машино-часа'!E13</f>
        <v>47 kW</v>
      </c>
      <c r="F13" s="54" t="str">
        <f>'Себестоимость 1 машино-часа'!F13</f>
        <v>4785 AX-5</v>
      </c>
      <c r="G13" s="54" t="str">
        <f>'Себестоимость 1 машино-часа'!G13</f>
        <v>Трансп. цех</v>
      </c>
      <c r="H13" s="56">
        <v>35000000</v>
      </c>
      <c r="I13" s="57">
        <v>0.0354585</v>
      </c>
      <c r="J13" s="16">
        <f t="shared" si="0"/>
        <v>1241048</v>
      </c>
      <c r="K13" s="16">
        <f>ROUND(J13/'ЗП водителей'!$G$9,0)</f>
        <v>7309</v>
      </c>
      <c r="L13" s="8"/>
      <c r="N13" s="103" t="s">
        <v>446</v>
      </c>
    </row>
    <row r="14" spans="2:14" ht="15">
      <c r="B14" s="7"/>
      <c r="C14" s="14">
        <f t="shared" si="1"/>
        <v>5</v>
      </c>
      <c r="D14" s="55" t="str">
        <f>'Себестоимость 1 машино-часа'!D14</f>
        <v>ГАЗ-27527</v>
      </c>
      <c r="E14" s="54" t="str">
        <f>'Себестоимость 1 машино-часа'!E14</f>
        <v>ЗМЗ-40522R</v>
      </c>
      <c r="F14" s="54" t="str">
        <f>'Себестоимость 1 машино-часа'!F14</f>
        <v>2210 KK-5</v>
      </c>
      <c r="G14" s="54" t="str">
        <f>'Себестоимость 1 машино-часа'!G14</f>
        <v>Трансп. цех</v>
      </c>
      <c r="H14" s="56">
        <v>0</v>
      </c>
      <c r="I14" s="57">
        <v>0</v>
      </c>
      <c r="J14" s="16">
        <f t="shared" si="0"/>
        <v>0</v>
      </c>
      <c r="K14" s="16">
        <f>ROUND(J14/'ЗП водителей'!$G$9,0)</f>
        <v>0</v>
      </c>
      <c r="L14" s="8"/>
      <c r="N14" s="103" t="s">
        <v>447</v>
      </c>
    </row>
    <row r="15" spans="2:14" ht="15">
      <c r="B15" s="7"/>
      <c r="C15" s="14">
        <f t="shared" si="1"/>
        <v>6</v>
      </c>
      <c r="D15" s="55">
        <f>'Себестоимость 1 машино-часа'!D15</f>
        <v>0</v>
      </c>
      <c r="E15" s="54">
        <f>'Себестоимость 1 машино-часа'!E15</f>
        <v>0</v>
      </c>
      <c r="F15" s="54">
        <f>'Себестоимость 1 машино-часа'!F15</f>
        <v>0</v>
      </c>
      <c r="G15" s="54">
        <f>'Себестоимость 1 машино-часа'!G15</f>
        <v>0</v>
      </c>
      <c r="H15" s="56"/>
      <c r="I15" s="57"/>
      <c r="J15" s="16">
        <f t="shared" si="0"/>
        <v>0</v>
      </c>
      <c r="K15" s="16">
        <f>ROUND(J15/'ЗП водителей'!$G$9,0)</f>
        <v>0</v>
      </c>
      <c r="L15" s="8"/>
      <c r="N15" s="103" t="s">
        <v>448</v>
      </c>
    </row>
    <row r="16" spans="2:14" ht="15">
      <c r="B16" s="7"/>
      <c r="C16" s="14">
        <f t="shared" si="1"/>
        <v>7</v>
      </c>
      <c r="D16" s="55">
        <f>'Себестоимость 1 машино-часа'!D16</f>
        <v>0</v>
      </c>
      <c r="E16" s="54">
        <f>'Себестоимость 1 машино-часа'!E16</f>
        <v>0</v>
      </c>
      <c r="F16" s="54">
        <f>'Себестоимость 1 машино-часа'!F16</f>
        <v>0</v>
      </c>
      <c r="G16" s="54">
        <f>'Себестоимость 1 машино-часа'!G16</f>
        <v>0</v>
      </c>
      <c r="H16" s="53"/>
      <c r="I16" s="58"/>
      <c r="J16" s="16">
        <f t="shared" si="0"/>
        <v>0</v>
      </c>
      <c r="K16" s="16">
        <f>ROUND(J16/'ЗП водителей'!$G$9,0)</f>
        <v>0</v>
      </c>
      <c r="L16" s="8"/>
      <c r="N16" s="103" t="s">
        <v>449</v>
      </c>
    </row>
    <row r="17" spans="2:12" ht="10.5">
      <c r="B17" s="7"/>
      <c r="C17" s="14">
        <f t="shared" si="1"/>
        <v>8</v>
      </c>
      <c r="D17" s="55">
        <f>'Себестоимость 1 машино-часа'!D17</f>
        <v>0</v>
      </c>
      <c r="E17" s="54">
        <f>'Себестоимость 1 машино-часа'!E17</f>
        <v>0</v>
      </c>
      <c r="F17" s="54">
        <f>'Себестоимость 1 машино-часа'!F17</f>
        <v>0</v>
      </c>
      <c r="G17" s="54">
        <f>'Себестоимость 1 машино-часа'!G17</f>
        <v>0</v>
      </c>
      <c r="H17" s="53"/>
      <c r="I17" s="58"/>
      <c r="J17" s="16">
        <f t="shared" si="0"/>
        <v>0</v>
      </c>
      <c r="K17" s="16">
        <f>ROUND(J17/'ЗП водителей'!$G$9,0)</f>
        <v>0</v>
      </c>
      <c r="L17" s="8"/>
    </row>
    <row r="18" spans="2:12" ht="10.5">
      <c r="B18" s="7"/>
      <c r="C18" s="14">
        <f t="shared" si="1"/>
        <v>9</v>
      </c>
      <c r="D18" s="55">
        <f>'Себестоимость 1 машино-часа'!D18</f>
        <v>0</v>
      </c>
      <c r="E18" s="54">
        <f>'Себестоимость 1 машино-часа'!E18</f>
        <v>0</v>
      </c>
      <c r="F18" s="54">
        <f>'Себестоимость 1 машино-часа'!F18</f>
        <v>0</v>
      </c>
      <c r="G18" s="54">
        <f>'Себестоимость 1 машино-часа'!G18</f>
        <v>0</v>
      </c>
      <c r="H18" s="53"/>
      <c r="I18" s="58"/>
      <c r="J18" s="16">
        <f t="shared" si="0"/>
        <v>0</v>
      </c>
      <c r="K18" s="16">
        <f>ROUND(J18/'ЗП водителей'!$G$9,0)</f>
        <v>0</v>
      </c>
      <c r="L18" s="8"/>
    </row>
    <row r="19" spans="2:14" ht="15">
      <c r="B19" s="7"/>
      <c r="C19" s="14">
        <f t="shared" si="1"/>
        <v>10</v>
      </c>
      <c r="D19" s="55">
        <f>'Себестоимость 1 машино-часа'!D19</f>
        <v>0</v>
      </c>
      <c r="E19" s="54">
        <f>'Себестоимость 1 машино-часа'!E19</f>
        <v>0</v>
      </c>
      <c r="F19" s="54">
        <f>'Себестоимость 1 машино-часа'!F19</f>
        <v>0</v>
      </c>
      <c r="G19" s="54">
        <f>'Себестоимость 1 машино-часа'!G19</f>
        <v>0</v>
      </c>
      <c r="H19" s="53"/>
      <c r="I19" s="58"/>
      <c r="J19" s="16">
        <f t="shared" si="0"/>
        <v>0</v>
      </c>
      <c r="K19" s="16">
        <f>ROUND(J19/'ЗП водителей'!$G$9,0)</f>
        <v>0</v>
      </c>
      <c r="L19" s="8"/>
      <c r="N19" s="103" t="s">
        <v>450</v>
      </c>
    </row>
    <row r="20" spans="2:14" ht="15">
      <c r="B20" s="7"/>
      <c r="C20" s="14">
        <f t="shared" si="1"/>
        <v>11</v>
      </c>
      <c r="D20" s="55">
        <f>'Себестоимость 1 машино-часа'!D20</f>
        <v>0</v>
      </c>
      <c r="E20" s="54">
        <f>'Себестоимость 1 машино-часа'!E20</f>
        <v>0</v>
      </c>
      <c r="F20" s="54">
        <f>'Себестоимость 1 машино-часа'!F20</f>
        <v>0</v>
      </c>
      <c r="G20" s="54">
        <f>'Себестоимость 1 машино-часа'!G20</f>
        <v>0</v>
      </c>
      <c r="H20" s="53"/>
      <c r="I20" s="58"/>
      <c r="J20" s="16">
        <f t="shared" si="0"/>
        <v>0</v>
      </c>
      <c r="K20" s="16">
        <f>ROUND(J20/'ЗП водителей'!$G$9,0)</f>
        <v>0</v>
      </c>
      <c r="L20" s="8"/>
      <c r="N20" s="103" t="s">
        <v>410</v>
      </c>
    </row>
    <row r="21" spans="2:12" ht="10.5">
      <c r="B21" s="7"/>
      <c r="C21" s="14">
        <f t="shared" si="1"/>
        <v>12</v>
      </c>
      <c r="D21" s="55">
        <f>'Себестоимость 1 машино-часа'!D21</f>
        <v>0</v>
      </c>
      <c r="E21" s="54">
        <f>'Себестоимость 1 машино-часа'!E21</f>
        <v>0</v>
      </c>
      <c r="F21" s="54">
        <f>'Себестоимость 1 машино-часа'!F21</f>
        <v>0</v>
      </c>
      <c r="G21" s="54">
        <f>'Себестоимость 1 машино-часа'!G21</f>
        <v>0</v>
      </c>
      <c r="H21" s="53"/>
      <c r="I21" s="58"/>
      <c r="J21" s="16">
        <f t="shared" si="0"/>
        <v>0</v>
      </c>
      <c r="K21" s="16">
        <f>ROUND(J21/'ЗП водителей'!$G$9,0)</f>
        <v>0</v>
      </c>
      <c r="L21" s="8"/>
    </row>
    <row r="22" spans="2:12" ht="10.5">
      <c r="B22" s="7"/>
      <c r="C22" s="14">
        <f t="shared" si="1"/>
        <v>13</v>
      </c>
      <c r="D22" s="55">
        <f>'Себестоимость 1 машино-часа'!D22</f>
        <v>0</v>
      </c>
      <c r="E22" s="54">
        <f>'Себестоимость 1 машино-часа'!E22</f>
        <v>0</v>
      </c>
      <c r="F22" s="54">
        <f>'Себестоимость 1 машино-часа'!F22</f>
        <v>0</v>
      </c>
      <c r="G22" s="54">
        <f>'Себестоимость 1 машино-часа'!G22</f>
        <v>0</v>
      </c>
      <c r="H22" s="53"/>
      <c r="I22" s="58"/>
      <c r="J22" s="16">
        <f t="shared" si="0"/>
        <v>0</v>
      </c>
      <c r="K22" s="16">
        <f>ROUND(J22/'ЗП водителей'!$G$9,0)</f>
        <v>0</v>
      </c>
      <c r="L22" s="8"/>
    </row>
    <row r="23" spans="2:12" ht="10.5">
      <c r="B23" s="7"/>
      <c r="C23" s="14">
        <f t="shared" si="1"/>
        <v>14</v>
      </c>
      <c r="D23" s="55">
        <f>'Себестоимость 1 машино-часа'!D23</f>
        <v>0</v>
      </c>
      <c r="E23" s="54">
        <f>'Себестоимость 1 машино-часа'!E23</f>
        <v>0</v>
      </c>
      <c r="F23" s="54">
        <f>'Себестоимость 1 машино-часа'!F23</f>
        <v>0</v>
      </c>
      <c r="G23" s="54">
        <f>'Себестоимость 1 машино-часа'!G23</f>
        <v>0</v>
      </c>
      <c r="H23" s="53"/>
      <c r="I23" s="58"/>
      <c r="J23" s="16">
        <f t="shared" si="0"/>
        <v>0</v>
      </c>
      <c r="K23" s="16">
        <f>ROUND(J23/'ЗП водителей'!$G$9,0)</f>
        <v>0</v>
      </c>
      <c r="L23" s="8"/>
    </row>
    <row r="24" spans="2:12" ht="10.5">
      <c r="B24" s="7"/>
      <c r="C24" s="14">
        <f t="shared" si="1"/>
        <v>15</v>
      </c>
      <c r="D24" s="55">
        <f>'Себестоимость 1 машино-часа'!D24</f>
        <v>0</v>
      </c>
      <c r="E24" s="54">
        <f>'Себестоимость 1 машино-часа'!E24</f>
        <v>0</v>
      </c>
      <c r="F24" s="54">
        <f>'Себестоимость 1 машино-часа'!F24</f>
        <v>0</v>
      </c>
      <c r="G24" s="54">
        <f>'Себестоимость 1 машино-часа'!G24</f>
        <v>0</v>
      </c>
      <c r="H24" s="53"/>
      <c r="I24" s="58"/>
      <c r="J24" s="16">
        <f t="shared" si="0"/>
        <v>0</v>
      </c>
      <c r="K24" s="16">
        <f>ROUND(J24/'ЗП водителей'!$G$9,0)</f>
        <v>0</v>
      </c>
      <c r="L24" s="8"/>
    </row>
    <row r="25" spans="2:12" ht="10.5">
      <c r="B25" s="7"/>
      <c r="C25" s="14">
        <f t="shared" si="1"/>
        <v>16</v>
      </c>
      <c r="D25" s="55">
        <f>'Себестоимость 1 машино-часа'!D25</f>
        <v>0</v>
      </c>
      <c r="E25" s="54">
        <f>'Себестоимость 1 машино-часа'!E25</f>
        <v>0</v>
      </c>
      <c r="F25" s="54">
        <f>'Себестоимость 1 машино-часа'!F25</f>
        <v>0</v>
      </c>
      <c r="G25" s="54">
        <f>'Себестоимость 1 машино-часа'!G25</f>
        <v>0</v>
      </c>
      <c r="H25" s="53"/>
      <c r="I25" s="58"/>
      <c r="J25" s="16">
        <f t="shared" si="0"/>
        <v>0</v>
      </c>
      <c r="K25" s="16">
        <f>ROUND(J25/'ЗП водителей'!$G$9,0)</f>
        <v>0</v>
      </c>
      <c r="L25" s="8"/>
    </row>
    <row r="26" spans="2:12" ht="10.5">
      <c r="B26" s="7"/>
      <c r="C26" s="14">
        <f t="shared" si="1"/>
        <v>17</v>
      </c>
      <c r="D26" s="55">
        <f>'Себестоимость 1 машино-часа'!D26</f>
        <v>0</v>
      </c>
      <c r="E26" s="54">
        <f>'Себестоимость 1 машино-часа'!E26</f>
        <v>0</v>
      </c>
      <c r="F26" s="54">
        <f>'Себестоимость 1 машино-часа'!F26</f>
        <v>0</v>
      </c>
      <c r="G26" s="54">
        <f>'Себестоимость 1 машино-часа'!G26</f>
        <v>0</v>
      </c>
      <c r="H26" s="53"/>
      <c r="I26" s="58"/>
      <c r="J26" s="16">
        <f t="shared" si="0"/>
        <v>0</v>
      </c>
      <c r="K26" s="16">
        <f>ROUND(J26/'ЗП водителей'!$G$9,0)</f>
        <v>0</v>
      </c>
      <c r="L26" s="8"/>
    </row>
    <row r="27" spans="2:12" ht="10.5">
      <c r="B27" s="7"/>
      <c r="C27" s="14">
        <f t="shared" si="1"/>
        <v>18</v>
      </c>
      <c r="D27" s="55">
        <f>'Себестоимость 1 машино-часа'!D27</f>
        <v>0</v>
      </c>
      <c r="E27" s="54">
        <f>'Себестоимость 1 машино-часа'!E27</f>
        <v>0</v>
      </c>
      <c r="F27" s="54">
        <f>'Себестоимость 1 машино-часа'!F27</f>
        <v>0</v>
      </c>
      <c r="G27" s="54">
        <f>'Себестоимость 1 машино-часа'!G27</f>
        <v>0</v>
      </c>
      <c r="H27" s="53"/>
      <c r="I27" s="58"/>
      <c r="J27" s="16">
        <f t="shared" si="0"/>
        <v>0</v>
      </c>
      <c r="K27" s="16">
        <f>ROUND(J27/'ЗП водителей'!$G$9,0)</f>
        <v>0</v>
      </c>
      <c r="L27" s="8"/>
    </row>
    <row r="28" spans="2:12" ht="10.5">
      <c r="B28" s="7"/>
      <c r="C28" s="14">
        <f t="shared" si="1"/>
        <v>19</v>
      </c>
      <c r="D28" s="55">
        <f>'Себестоимость 1 машино-часа'!D28</f>
        <v>0</v>
      </c>
      <c r="E28" s="54">
        <f>'Себестоимость 1 машино-часа'!E28</f>
        <v>0</v>
      </c>
      <c r="F28" s="54">
        <f>'Себестоимость 1 машино-часа'!F28</f>
        <v>0</v>
      </c>
      <c r="G28" s="54">
        <f>'Себестоимость 1 машино-часа'!G28</f>
        <v>0</v>
      </c>
      <c r="H28" s="53"/>
      <c r="I28" s="58"/>
      <c r="J28" s="16">
        <f t="shared" si="0"/>
        <v>0</v>
      </c>
      <c r="K28" s="16">
        <f>ROUND(J28/'ЗП водителей'!$G$9,0)</f>
        <v>0</v>
      </c>
      <c r="L28" s="8"/>
    </row>
    <row r="29" spans="2:12" ht="10.5">
      <c r="B29" s="7"/>
      <c r="C29" s="14">
        <f t="shared" si="1"/>
        <v>20</v>
      </c>
      <c r="D29" s="55">
        <f>'Себестоимость 1 машино-часа'!D29</f>
        <v>0</v>
      </c>
      <c r="E29" s="54">
        <f>'Себестоимость 1 машино-часа'!E29</f>
        <v>0</v>
      </c>
      <c r="F29" s="54">
        <f>'Себестоимость 1 машино-часа'!F29</f>
        <v>0</v>
      </c>
      <c r="G29" s="54">
        <f>'Себестоимость 1 машино-часа'!G29</f>
        <v>0</v>
      </c>
      <c r="H29" s="53"/>
      <c r="I29" s="58"/>
      <c r="J29" s="16">
        <f t="shared" si="0"/>
        <v>0</v>
      </c>
      <c r="K29" s="16">
        <f>ROUND(J29/'ЗП водителей'!$G$9,0)</f>
        <v>0</v>
      </c>
      <c r="L29" s="8"/>
    </row>
    <row r="30" spans="2:12" ht="10.5">
      <c r="B30" s="7"/>
      <c r="C30" s="14">
        <f t="shared" si="1"/>
        <v>21</v>
      </c>
      <c r="D30" s="55">
        <f>'Себестоимость 1 машино-часа'!D30</f>
        <v>0</v>
      </c>
      <c r="E30" s="54">
        <f>'Себестоимость 1 машино-часа'!E30</f>
        <v>0</v>
      </c>
      <c r="F30" s="54">
        <f>'Себестоимость 1 машино-часа'!F30</f>
        <v>0</v>
      </c>
      <c r="G30" s="54">
        <f>'Себестоимость 1 машино-часа'!G30</f>
        <v>0</v>
      </c>
      <c r="H30" s="53"/>
      <c r="I30" s="58"/>
      <c r="J30" s="16">
        <f t="shared" si="0"/>
        <v>0</v>
      </c>
      <c r="K30" s="16">
        <f>ROUND(J30/'ЗП водителей'!$G$9,0)</f>
        <v>0</v>
      </c>
      <c r="L30" s="8"/>
    </row>
    <row r="31" spans="2:12" ht="10.5"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8"/>
    </row>
    <row r="32" spans="2:52" ht="11.25" thickBot="1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7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6:52" ht="10.5">
      <c r="P33" s="28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0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6:52" ht="10.5">
      <c r="P34" s="24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0"/>
      <c r="AL34" s="30"/>
      <c r="AM34" s="30"/>
      <c r="AN34" s="30"/>
      <c r="AO34" s="30"/>
      <c r="AP34" s="30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3:52" ht="10.5">
      <c r="C35" s="31"/>
      <c r="D35" s="31"/>
      <c r="P35" s="28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/>
      <c r="AL35" s="30"/>
      <c r="AM35" s="30"/>
      <c r="AN35" s="30"/>
      <c r="AO35" s="30"/>
      <c r="AP35" s="30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3:52" ht="10.5">
      <c r="C36" s="31"/>
      <c r="D36" s="31"/>
      <c r="P36" s="28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30"/>
      <c r="AM36" s="30"/>
      <c r="AN36" s="30"/>
      <c r="AO36" s="30"/>
      <c r="AP36" s="30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3:52" ht="10.5">
      <c r="C37" s="31"/>
      <c r="D37" s="31"/>
      <c r="N37" s="23"/>
      <c r="P37" s="28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/>
      <c r="AL37" s="30"/>
      <c r="AM37" s="30"/>
      <c r="AN37" s="30"/>
      <c r="AO37" s="30"/>
      <c r="AP37" s="30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3:52" ht="10.5">
      <c r="C38" s="31"/>
      <c r="D38" s="31"/>
      <c r="P38" s="2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30"/>
      <c r="AL38" s="30"/>
      <c r="AM38" s="30"/>
      <c r="AN38" s="30"/>
      <c r="AO38" s="30"/>
      <c r="AP38" s="30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3:52" ht="10.5">
      <c r="C39" s="31"/>
      <c r="D39" s="31"/>
      <c r="P39" s="28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0"/>
      <c r="AL39" s="30"/>
      <c r="AM39" s="30"/>
      <c r="AN39" s="30"/>
      <c r="AO39" s="30"/>
      <c r="AP39" s="30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3:52" ht="10.5">
      <c r="C40" s="31"/>
      <c r="D40" s="31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0"/>
      <c r="AL40" s="30"/>
      <c r="AM40" s="30"/>
      <c r="AN40" s="30"/>
      <c r="AO40" s="30"/>
      <c r="AP40" s="30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3:52" ht="10.5">
      <c r="C41" s="31"/>
      <c r="D41" s="31"/>
      <c r="P41" s="28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3:52" ht="10.5">
      <c r="C42" s="31"/>
      <c r="D42" s="31"/>
      <c r="P42" s="28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3:52" ht="10.5">
      <c r="C43" s="31"/>
      <c r="D43" s="31"/>
      <c r="P43" s="28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3:52" ht="10.5">
      <c r="C44" s="31"/>
      <c r="D44" s="31"/>
      <c r="P44" s="28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3:52" ht="10.5">
      <c r="C45" s="31"/>
      <c r="D45" s="31"/>
      <c r="P45" s="28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3:52" ht="10.5">
      <c r="C46" s="31"/>
      <c r="D46" s="31"/>
      <c r="P46" s="28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3:4" ht="10.5">
      <c r="C47" s="31"/>
      <c r="D47" s="31"/>
    </row>
  </sheetData>
  <sheetProtection/>
  <mergeCells count="3">
    <mergeCell ref="C4:K4"/>
    <mergeCell ref="C5:K5"/>
    <mergeCell ref="C6:K6"/>
  </mergeCells>
  <hyperlinks>
    <hyperlink ref="N4" location="'Калькуляция машино-часа'!A1" display="Калькуляция стоимости 1 часа использования"/>
    <hyperlink ref="N5" location="'Себестоимость 1 машино-часа'!A1" display="Расчет  себестоимости 1 часа использования"/>
    <hyperlink ref="N6" location="'ЗП водителей'!A1" display="Расчет затрат на заработную плату водителей"/>
    <hyperlink ref="N7" location="амортизация!A1" display="Расчет амортизационных отчислений"/>
    <hyperlink ref="N8" location="'расчет % ОПР'!A1" display="Расчет процента общепроизводственных расходов"/>
    <hyperlink ref="N9" location="'расчет % ОХР'!A1" display="Расчет процента общехозяйственных расходов"/>
    <hyperlink ref="N11" location="'Калькуляция 1 км'!A1" display="Калькуляция стоимости 1 км пробега (с топливом)"/>
    <hyperlink ref="N12" location="'Калькуляция 1 км (без топлива)'!A1" display="Калькуляция стоимости 1 км пробега (без топлива)"/>
    <hyperlink ref="N13" location="'Себестоимость 1 км'!A1" display="Расчет себестоимости 1 часа использования"/>
    <hyperlink ref="N14" location="техобслуживание!A1" display="Расчет затрат на техническое обслуживание на 1 км пробега автотранспорта"/>
    <hyperlink ref="N15" location="топливо!A1" display="Расчет затрат на топливо на 1 км пробега автотранспорта"/>
    <hyperlink ref="N16" location="'Затраты на восстановление шин'!A1" display="Расчет  затрат на восстановление шин на 1 км пробега автотранспорта"/>
    <hyperlink ref="N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N20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scale="89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2" manualBreakCount="2">
    <brk id="12" max="65535" man="1"/>
    <brk id="31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V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3" bestFit="1" customWidth="1"/>
    <col min="2" max="2" width="2.28125" style="1" customWidth="1"/>
    <col min="3" max="3" width="3.421875" style="1" customWidth="1"/>
    <col min="4" max="4" width="46.8515625" style="1" customWidth="1"/>
    <col min="5" max="5" width="11.7109375" style="1" customWidth="1"/>
    <col min="6" max="6" width="11.00390625" style="1" customWidth="1"/>
    <col min="7" max="7" width="10.421875" style="1" customWidth="1"/>
    <col min="8" max="9" width="2.140625" style="1" customWidth="1"/>
    <col min="10" max="10" width="73.28125" style="1" customWidth="1"/>
    <col min="11" max="16384" width="9.140625" style="1" customWidth="1"/>
  </cols>
  <sheetData>
    <row r="1" spans="1:2" ht="11.25" thickBot="1">
      <c r="A1" s="1"/>
      <c r="B1" s="2" t="s">
        <v>0</v>
      </c>
    </row>
    <row r="2" spans="2:8" ht="10.5">
      <c r="B2" s="4"/>
      <c r="C2" s="5"/>
      <c r="D2" s="5"/>
      <c r="E2" s="5"/>
      <c r="F2" s="5"/>
      <c r="G2" s="5"/>
      <c r="H2" s="6"/>
    </row>
    <row r="3" spans="2:8" ht="10.5">
      <c r="B3" s="7"/>
      <c r="C3" s="34"/>
      <c r="D3" s="34"/>
      <c r="E3" s="34"/>
      <c r="F3" s="34"/>
      <c r="G3" s="34"/>
      <c r="H3" s="8"/>
    </row>
    <row r="4" spans="2:10" ht="15">
      <c r="B4" s="7"/>
      <c r="C4" s="108" t="s">
        <v>32</v>
      </c>
      <c r="D4" s="108"/>
      <c r="E4" s="108"/>
      <c r="F4" s="108"/>
      <c r="G4" s="108"/>
      <c r="H4" s="8"/>
      <c r="J4" s="103" t="s">
        <v>439</v>
      </c>
    </row>
    <row r="5" spans="2:10" ht="15">
      <c r="B5" s="7"/>
      <c r="C5" s="109" t="s">
        <v>75</v>
      </c>
      <c r="D5" s="109"/>
      <c r="E5" s="109"/>
      <c r="F5" s="109"/>
      <c r="G5" s="109"/>
      <c r="H5" s="8"/>
      <c r="J5" s="103" t="s">
        <v>440</v>
      </c>
    </row>
    <row r="6" spans="2:10" ht="15">
      <c r="B6" s="7"/>
      <c r="C6" s="10"/>
      <c r="D6" s="10"/>
      <c r="E6" s="10"/>
      <c r="F6" s="10"/>
      <c r="G6" s="10" t="s">
        <v>100</v>
      </c>
      <c r="H6" s="8"/>
      <c r="J6" s="103" t="s">
        <v>441</v>
      </c>
    </row>
    <row r="7" spans="2:10" ht="27">
      <c r="B7" s="7"/>
      <c r="C7" s="44" t="s">
        <v>1</v>
      </c>
      <c r="D7" s="44" t="s">
        <v>76</v>
      </c>
      <c r="E7" s="44" t="s">
        <v>78</v>
      </c>
      <c r="F7" s="44" t="s">
        <v>116</v>
      </c>
      <c r="G7" s="44" t="s">
        <v>77</v>
      </c>
      <c r="H7" s="8"/>
      <c r="J7" s="103" t="s">
        <v>442</v>
      </c>
    </row>
    <row r="8" spans="2:10" ht="15">
      <c r="B8" s="7"/>
      <c r="C8" s="14">
        <v>1</v>
      </c>
      <c r="D8" s="104" t="s">
        <v>79</v>
      </c>
      <c r="E8" s="72">
        <v>300000</v>
      </c>
      <c r="F8" s="72">
        <v>325000</v>
      </c>
      <c r="G8" s="63">
        <f>ROUND(F8/E8,5)</f>
        <v>1.08333</v>
      </c>
      <c r="H8" s="8"/>
      <c r="J8" s="103" t="s">
        <v>99</v>
      </c>
    </row>
    <row r="9" spans="1:10" ht="15">
      <c r="A9" s="3">
        <v>0.34</v>
      </c>
      <c r="B9" s="7"/>
      <c r="C9" s="14">
        <f>C8+1</f>
        <v>2</v>
      </c>
      <c r="D9" s="104" t="s">
        <v>80</v>
      </c>
      <c r="E9" s="73">
        <f>E8*$A$9</f>
        <v>102000.00000000001</v>
      </c>
      <c r="F9" s="73">
        <f>F8*$A$9</f>
        <v>110500.00000000001</v>
      </c>
      <c r="G9" s="63">
        <f aca="true" t="shared" si="0" ref="G9:G28">ROUND(F9/E9,5)</f>
        <v>1.08333</v>
      </c>
      <c r="H9" s="8"/>
      <c r="J9" s="103" t="s">
        <v>115</v>
      </c>
    </row>
    <row r="10" spans="1:8" ht="10.5">
      <c r="A10" s="3">
        <v>0.006</v>
      </c>
      <c r="B10" s="7"/>
      <c r="C10" s="14">
        <f aca="true" t="shared" si="1" ref="C10:C29">C9+1</f>
        <v>3</v>
      </c>
      <c r="D10" s="104" t="s">
        <v>81</v>
      </c>
      <c r="E10" s="73">
        <f>E8*$A$10</f>
        <v>1800</v>
      </c>
      <c r="F10" s="73">
        <f>F8*$A$10</f>
        <v>1950</v>
      </c>
      <c r="G10" s="63">
        <f t="shared" si="0"/>
        <v>1.08333</v>
      </c>
      <c r="H10" s="8"/>
    </row>
    <row r="11" spans="2:10" ht="15">
      <c r="B11" s="7"/>
      <c r="C11" s="14">
        <f t="shared" si="1"/>
        <v>4</v>
      </c>
      <c r="D11" s="104" t="s">
        <v>82</v>
      </c>
      <c r="E11" s="72">
        <v>140000</v>
      </c>
      <c r="F11" s="72">
        <v>185000</v>
      </c>
      <c r="G11" s="63">
        <f t="shared" si="0"/>
        <v>1.32143</v>
      </c>
      <c r="H11" s="8"/>
      <c r="J11" s="103" t="s">
        <v>443</v>
      </c>
    </row>
    <row r="12" spans="2:10" ht="15">
      <c r="B12" s="7"/>
      <c r="C12" s="14">
        <f t="shared" si="1"/>
        <v>5</v>
      </c>
      <c r="D12" s="104" t="s">
        <v>83</v>
      </c>
      <c r="E12" s="72">
        <v>125000</v>
      </c>
      <c r="F12" s="72">
        <v>124000</v>
      </c>
      <c r="G12" s="63">
        <f t="shared" si="0"/>
        <v>0.992</v>
      </c>
      <c r="H12" s="8"/>
      <c r="J12" s="103" t="s">
        <v>444</v>
      </c>
    </row>
    <row r="13" spans="2:10" ht="15">
      <c r="B13" s="7"/>
      <c r="C13" s="14">
        <f t="shared" si="1"/>
        <v>6</v>
      </c>
      <c r="D13" s="104" t="s">
        <v>84</v>
      </c>
      <c r="E13" s="72">
        <v>69000</v>
      </c>
      <c r="F13" s="72">
        <v>68500</v>
      </c>
      <c r="G13" s="63">
        <f t="shared" si="0"/>
        <v>0.99275</v>
      </c>
      <c r="H13" s="8"/>
      <c r="J13" s="103" t="s">
        <v>446</v>
      </c>
    </row>
    <row r="14" spans="2:10" ht="15">
      <c r="B14" s="7"/>
      <c r="C14" s="14">
        <f t="shared" si="1"/>
        <v>7</v>
      </c>
      <c r="D14" s="104" t="s">
        <v>85</v>
      </c>
      <c r="E14" s="72">
        <v>3500</v>
      </c>
      <c r="F14" s="72">
        <v>3420</v>
      </c>
      <c r="G14" s="63">
        <f t="shared" si="0"/>
        <v>0.97714</v>
      </c>
      <c r="H14" s="8"/>
      <c r="J14" s="103" t="s">
        <v>447</v>
      </c>
    </row>
    <row r="15" spans="2:10" ht="15">
      <c r="B15" s="7"/>
      <c r="C15" s="14">
        <f t="shared" si="1"/>
        <v>8</v>
      </c>
      <c r="D15" s="104" t="s">
        <v>86</v>
      </c>
      <c r="E15" s="72">
        <v>52000</v>
      </c>
      <c r="F15" s="72">
        <v>50000</v>
      </c>
      <c r="G15" s="63">
        <f t="shared" si="0"/>
        <v>0.96154</v>
      </c>
      <c r="H15" s="8"/>
      <c r="J15" s="103" t="s">
        <v>448</v>
      </c>
    </row>
    <row r="16" spans="2:10" ht="15">
      <c r="B16" s="7"/>
      <c r="C16" s="14">
        <f t="shared" si="1"/>
        <v>9</v>
      </c>
      <c r="D16" s="104" t="s">
        <v>87</v>
      </c>
      <c r="E16" s="72">
        <v>14000</v>
      </c>
      <c r="F16" s="72">
        <v>15100</v>
      </c>
      <c r="G16" s="63">
        <f t="shared" si="0"/>
        <v>1.07857</v>
      </c>
      <c r="H16" s="8"/>
      <c r="J16" s="103" t="s">
        <v>449</v>
      </c>
    </row>
    <row r="17" spans="2:8" ht="10.5">
      <c r="B17" s="7"/>
      <c r="C17" s="14">
        <f t="shared" si="1"/>
        <v>10</v>
      </c>
      <c r="D17" s="104" t="s">
        <v>88</v>
      </c>
      <c r="E17" s="72">
        <v>3800</v>
      </c>
      <c r="F17" s="72">
        <v>5400</v>
      </c>
      <c r="G17" s="63">
        <f t="shared" si="0"/>
        <v>1.42105</v>
      </c>
      <c r="H17" s="8"/>
    </row>
    <row r="18" spans="2:8" ht="10.5">
      <c r="B18" s="7"/>
      <c r="C18" s="14">
        <f t="shared" si="1"/>
        <v>11</v>
      </c>
      <c r="D18" s="104" t="s">
        <v>89</v>
      </c>
      <c r="E18" s="72">
        <v>55000</v>
      </c>
      <c r="F18" s="72">
        <v>58000</v>
      </c>
      <c r="G18" s="63">
        <f t="shared" si="0"/>
        <v>1.05455</v>
      </c>
      <c r="H18" s="8"/>
    </row>
    <row r="19" spans="2:10" ht="15">
      <c r="B19" s="7"/>
      <c r="C19" s="14">
        <f t="shared" si="1"/>
        <v>12</v>
      </c>
      <c r="D19" s="104" t="s">
        <v>90</v>
      </c>
      <c r="E19" s="72">
        <v>8700</v>
      </c>
      <c r="F19" s="72">
        <v>9500</v>
      </c>
      <c r="G19" s="63">
        <f t="shared" si="0"/>
        <v>1.09195</v>
      </c>
      <c r="H19" s="8"/>
      <c r="J19" s="103" t="s">
        <v>450</v>
      </c>
    </row>
    <row r="20" spans="2:10" ht="15">
      <c r="B20" s="7"/>
      <c r="C20" s="14">
        <f t="shared" si="1"/>
        <v>13</v>
      </c>
      <c r="D20" s="104" t="s">
        <v>91</v>
      </c>
      <c r="E20" s="72">
        <v>12000</v>
      </c>
      <c r="F20" s="72">
        <v>14700</v>
      </c>
      <c r="G20" s="63">
        <f t="shared" si="0"/>
        <v>1.225</v>
      </c>
      <c r="H20" s="8"/>
      <c r="J20" s="103" t="s">
        <v>410</v>
      </c>
    </row>
    <row r="21" spans="2:8" ht="10.5">
      <c r="B21" s="7"/>
      <c r="C21" s="14">
        <f t="shared" si="1"/>
        <v>14</v>
      </c>
      <c r="D21" s="104" t="s">
        <v>92</v>
      </c>
      <c r="E21" s="72">
        <v>10000</v>
      </c>
      <c r="F21" s="72">
        <v>11500</v>
      </c>
      <c r="G21" s="63">
        <f t="shared" si="0"/>
        <v>1.15</v>
      </c>
      <c r="H21" s="8"/>
    </row>
    <row r="22" spans="2:8" ht="10.5">
      <c r="B22" s="7"/>
      <c r="C22" s="14">
        <f t="shared" si="1"/>
        <v>15</v>
      </c>
      <c r="D22" s="104" t="s">
        <v>93</v>
      </c>
      <c r="E22" s="72">
        <v>32000</v>
      </c>
      <c r="F22" s="72">
        <v>33000</v>
      </c>
      <c r="G22" s="63">
        <f t="shared" si="0"/>
        <v>1.03125</v>
      </c>
      <c r="H22" s="8"/>
    </row>
    <row r="23" spans="2:8" ht="10.5">
      <c r="B23" s="7"/>
      <c r="C23" s="14">
        <f t="shared" si="1"/>
        <v>16</v>
      </c>
      <c r="D23" s="104" t="s">
        <v>94</v>
      </c>
      <c r="E23" s="72">
        <v>1440</v>
      </c>
      <c r="F23" s="72">
        <v>1580</v>
      </c>
      <c r="G23" s="63">
        <f t="shared" si="0"/>
        <v>1.09722</v>
      </c>
      <c r="H23" s="8"/>
    </row>
    <row r="24" spans="2:8" ht="10.5">
      <c r="B24" s="7"/>
      <c r="C24" s="14">
        <f t="shared" si="1"/>
        <v>17</v>
      </c>
      <c r="D24" s="104" t="s">
        <v>95</v>
      </c>
      <c r="E24" s="72">
        <v>35000</v>
      </c>
      <c r="F24" s="72">
        <v>30000</v>
      </c>
      <c r="G24" s="63">
        <f t="shared" si="0"/>
        <v>0.85714</v>
      </c>
      <c r="H24" s="8"/>
    </row>
    <row r="25" spans="2:8" ht="10.5">
      <c r="B25" s="7"/>
      <c r="C25" s="14">
        <f t="shared" si="1"/>
        <v>18</v>
      </c>
      <c r="D25" s="104" t="s">
        <v>96</v>
      </c>
      <c r="E25" s="72">
        <v>5200</v>
      </c>
      <c r="F25" s="72">
        <v>5500</v>
      </c>
      <c r="G25" s="63">
        <f t="shared" si="0"/>
        <v>1.05769</v>
      </c>
      <c r="H25" s="8"/>
    </row>
    <row r="26" spans="2:8" ht="10.5">
      <c r="B26" s="7"/>
      <c r="C26" s="14">
        <f t="shared" si="1"/>
        <v>19</v>
      </c>
      <c r="D26" s="104" t="s">
        <v>97</v>
      </c>
      <c r="E26" s="72">
        <v>39000</v>
      </c>
      <c r="F26" s="72">
        <v>42000</v>
      </c>
      <c r="G26" s="63">
        <f t="shared" si="0"/>
        <v>1.07692</v>
      </c>
      <c r="H26" s="8"/>
    </row>
    <row r="27" spans="2:8" ht="10.5">
      <c r="B27" s="7"/>
      <c r="C27" s="14">
        <f t="shared" si="1"/>
        <v>20</v>
      </c>
      <c r="D27" s="104" t="s">
        <v>4</v>
      </c>
      <c r="E27" s="73">
        <f>SUM(E8:E26)</f>
        <v>1009440</v>
      </c>
      <c r="F27" s="73">
        <f>SUM(F8:F26)</f>
        <v>1094650</v>
      </c>
      <c r="G27" s="63">
        <f t="shared" si="0"/>
        <v>1.08441</v>
      </c>
      <c r="H27" s="8"/>
    </row>
    <row r="28" spans="2:8" ht="10.5">
      <c r="B28" s="7"/>
      <c r="C28" s="14">
        <f t="shared" si="1"/>
        <v>21</v>
      </c>
      <c r="D28" s="104" t="s">
        <v>98</v>
      </c>
      <c r="E28" s="72">
        <v>1800000</v>
      </c>
      <c r="F28" s="72">
        <v>2000000</v>
      </c>
      <c r="G28" s="63">
        <f t="shared" si="0"/>
        <v>1.11111</v>
      </c>
      <c r="H28" s="8"/>
    </row>
    <row r="29" spans="2:8" ht="10.5">
      <c r="B29" s="7"/>
      <c r="C29" s="14">
        <f t="shared" si="1"/>
        <v>22</v>
      </c>
      <c r="D29" s="60" t="s">
        <v>99</v>
      </c>
      <c r="E29" s="64">
        <f>ROUND(E27/E28,5)</f>
        <v>0.5608</v>
      </c>
      <c r="F29" s="64">
        <f>ROUND(F27/F28,5)</f>
        <v>0.54733</v>
      </c>
      <c r="G29" s="54"/>
      <c r="H29" s="8"/>
    </row>
    <row r="30" spans="2:48" ht="11.25" thickBot="1">
      <c r="B30" s="25"/>
      <c r="C30" s="26"/>
      <c r="D30" s="26"/>
      <c r="E30" s="26"/>
      <c r="F30" s="26"/>
      <c r="G30" s="26"/>
      <c r="H30" s="27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12:48" ht="10.5"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0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2:48" ht="10.5">
      <c r="L32" s="24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0"/>
      <c r="AH32" s="30"/>
      <c r="AI32" s="30"/>
      <c r="AJ32" s="30"/>
      <c r="AK32" s="30"/>
      <c r="AL32" s="30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3:48" ht="10.5">
      <c r="C33" s="31"/>
      <c r="D33" s="31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/>
      <c r="AH33" s="30"/>
      <c r="AI33" s="30"/>
      <c r="AJ33" s="30"/>
      <c r="AK33" s="30"/>
      <c r="AL33" s="30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3:48" ht="10.5">
      <c r="C34" s="31"/>
      <c r="D34" s="31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0"/>
      <c r="AH34" s="30"/>
      <c r="AI34" s="30"/>
      <c r="AJ34" s="30"/>
      <c r="AK34" s="30"/>
      <c r="AL34" s="30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3:48" ht="10.5">
      <c r="C35" s="31"/>
      <c r="D35" s="31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  <c r="AH35" s="30"/>
      <c r="AI35" s="30"/>
      <c r="AJ35" s="30"/>
      <c r="AK35" s="30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3:48" ht="10.5">
      <c r="C36" s="31"/>
      <c r="D36" s="31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3:48" ht="10.5">
      <c r="C37" s="31"/>
      <c r="D37" s="31"/>
      <c r="J37" s="23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3:48" ht="10.5">
      <c r="C38" s="31"/>
      <c r="D38" s="3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3:48" ht="10.5">
      <c r="C39" s="31"/>
      <c r="D39" s="31"/>
      <c r="L39" s="28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</row>
    <row r="40" spans="3:48" ht="10.5">
      <c r="C40" s="31"/>
      <c r="D40" s="31"/>
      <c r="L40" s="2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3:48" ht="10.5">
      <c r="C41" s="31"/>
      <c r="D41" s="31"/>
      <c r="L41" s="28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3:48" ht="10.5">
      <c r="C42" s="31"/>
      <c r="D42" s="31"/>
      <c r="L42" s="28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3:48" ht="10.5">
      <c r="C43" s="31"/>
      <c r="D43" s="31"/>
      <c r="L43" s="28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3:48" ht="10.5">
      <c r="C44" s="31"/>
      <c r="D44" s="31"/>
      <c r="L44" s="28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</row>
    <row r="45" spans="3:4" ht="10.5">
      <c r="C45" s="31"/>
      <c r="D45" s="31"/>
    </row>
  </sheetData>
  <sheetProtection/>
  <mergeCells count="2">
    <mergeCell ref="C4:G4"/>
    <mergeCell ref="C5:G5"/>
  </mergeCells>
  <hyperlinks>
    <hyperlink ref="J4" location="'Калькуляция машино-часа'!A1" display="Калькуляция стоимости 1 часа использования"/>
    <hyperlink ref="J5" location="'Себестоимость 1 машино-часа'!A1" display="Расчет  себестоимости 1 часа использования"/>
    <hyperlink ref="J6" location="'ЗП водителей'!A1" display="Расчет затрат на заработную плату водителей"/>
    <hyperlink ref="J7" location="амортизация!A1" display="Расчет амортизационных отчислений"/>
    <hyperlink ref="J8" location="'расчет % ОПР'!A1" display="Расчет процента общепроизводственных расходов"/>
    <hyperlink ref="J9" location="'расчет % ОХР'!A1" display="Расчет процента общехозяйственных расходов"/>
    <hyperlink ref="J11" location="'Калькуляция 1 км'!A1" display="Калькуляция стоимости 1 км пробега (с топливом)"/>
    <hyperlink ref="J12" location="'Калькуляция 1 км (без топлива)'!A1" display="Калькуляция стоимости 1 км пробега (без топлива)"/>
    <hyperlink ref="J13" location="'Себестоимость 1 км'!A1" display="Расчет себестоимости 1 часа использования"/>
    <hyperlink ref="J14" location="техобслуживание!A1" display="Расчет затрат на техническое обслуживание на 1 км пробега автотранспорта"/>
    <hyperlink ref="J15" location="топливо!A1" display="Расчет затрат на топливо на 1 км пробега автотранспорта"/>
    <hyperlink ref="J16" location="'Затраты на восстановление шин'!A1" display="Расчет  затрат на восстановление шин на 1 км пробега автотранспорта"/>
    <hyperlink ref="J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J20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3" bestFit="1" customWidth="1"/>
    <col min="2" max="2" width="2.28125" style="1" customWidth="1"/>
    <col min="3" max="3" width="3.421875" style="1" customWidth="1"/>
    <col min="4" max="4" width="46.8515625" style="1" customWidth="1"/>
    <col min="5" max="5" width="11.7109375" style="1" customWidth="1"/>
    <col min="6" max="6" width="11.00390625" style="1" customWidth="1"/>
    <col min="7" max="7" width="10.421875" style="1" customWidth="1"/>
    <col min="8" max="8" width="2.140625" style="1" customWidth="1"/>
    <col min="9" max="9" width="2.421875" style="1" customWidth="1"/>
    <col min="10" max="10" width="73.28125" style="1" customWidth="1"/>
    <col min="11" max="16384" width="9.140625" style="1" customWidth="1"/>
  </cols>
  <sheetData>
    <row r="1" spans="1:2" ht="11.25" thickBot="1">
      <c r="A1" s="1"/>
      <c r="B1" s="2" t="s">
        <v>0</v>
      </c>
    </row>
    <row r="2" spans="2:8" ht="10.5">
      <c r="B2" s="4"/>
      <c r="C2" s="5"/>
      <c r="D2" s="5"/>
      <c r="E2" s="5"/>
      <c r="F2" s="5"/>
      <c r="G2" s="5"/>
      <c r="H2" s="6"/>
    </row>
    <row r="3" spans="2:8" ht="10.5">
      <c r="B3" s="7"/>
      <c r="C3" s="34"/>
      <c r="D3" s="34"/>
      <c r="E3" s="34"/>
      <c r="F3" s="34"/>
      <c r="G3" s="34"/>
      <c r="H3" s="8"/>
    </row>
    <row r="4" spans="2:10" ht="15">
      <c r="B4" s="7"/>
      <c r="C4" s="108" t="s">
        <v>32</v>
      </c>
      <c r="D4" s="108"/>
      <c r="E4" s="108"/>
      <c r="F4" s="108"/>
      <c r="G4" s="108"/>
      <c r="H4" s="8"/>
      <c r="J4" s="103" t="s">
        <v>439</v>
      </c>
    </row>
    <row r="5" spans="2:10" ht="15">
      <c r="B5" s="7"/>
      <c r="C5" s="109" t="s">
        <v>117</v>
      </c>
      <c r="D5" s="109"/>
      <c r="E5" s="109"/>
      <c r="F5" s="109"/>
      <c r="G5" s="109"/>
      <c r="H5" s="8"/>
      <c r="J5" s="103" t="s">
        <v>440</v>
      </c>
    </row>
    <row r="6" spans="2:10" ht="15">
      <c r="B6" s="7"/>
      <c r="C6" s="10"/>
      <c r="D6" s="10"/>
      <c r="E6" s="10"/>
      <c r="F6" s="10"/>
      <c r="G6" s="10" t="s">
        <v>100</v>
      </c>
      <c r="H6" s="8"/>
      <c r="J6" s="103" t="s">
        <v>441</v>
      </c>
    </row>
    <row r="7" spans="2:10" ht="27">
      <c r="B7" s="7"/>
      <c r="C7" s="44" t="s">
        <v>1</v>
      </c>
      <c r="D7" s="44" t="s">
        <v>76</v>
      </c>
      <c r="E7" s="66" t="str">
        <f>'расчет % ОПР'!E7</f>
        <v>Факт за предыдущий период</v>
      </c>
      <c r="F7" s="66" t="str">
        <f>'расчет % ОПР'!F7</f>
        <v>План на расчетный период</v>
      </c>
      <c r="G7" s="44" t="s">
        <v>77</v>
      </c>
      <c r="H7" s="8"/>
      <c r="J7" s="103" t="s">
        <v>442</v>
      </c>
    </row>
    <row r="8" spans="2:10" ht="15">
      <c r="B8" s="7"/>
      <c r="C8" s="14">
        <v>1</v>
      </c>
      <c r="D8" s="60" t="s">
        <v>101</v>
      </c>
      <c r="E8" s="61">
        <v>500000</v>
      </c>
      <c r="F8" s="61">
        <v>590000</v>
      </c>
      <c r="G8" s="63">
        <f>ROUND(F8/E8,5)</f>
        <v>1.18</v>
      </c>
      <c r="H8" s="8"/>
      <c r="J8" s="103" t="s">
        <v>99</v>
      </c>
    </row>
    <row r="9" spans="1:10" ht="15">
      <c r="A9" s="3">
        <v>0.34</v>
      </c>
      <c r="B9" s="7"/>
      <c r="C9" s="14">
        <f>C8+1</f>
        <v>2</v>
      </c>
      <c r="D9" s="60" t="s">
        <v>466</v>
      </c>
      <c r="E9" s="73">
        <f>E8*$A$9</f>
        <v>170000</v>
      </c>
      <c r="F9" s="73">
        <f>F8*$A$9</f>
        <v>200600</v>
      </c>
      <c r="G9" s="63">
        <f aca="true" t="shared" si="0" ref="G9:G32">ROUND(F9/E9,5)</f>
        <v>1.18</v>
      </c>
      <c r="H9" s="8"/>
      <c r="J9" s="103" t="s">
        <v>115</v>
      </c>
    </row>
    <row r="10" spans="1:8" ht="10.5">
      <c r="A10" s="3">
        <v>0.006</v>
      </c>
      <c r="B10" s="7"/>
      <c r="C10" s="14">
        <f aca="true" t="shared" si="1" ref="C10:C33">C9+1</f>
        <v>3</v>
      </c>
      <c r="D10" s="60" t="s">
        <v>81</v>
      </c>
      <c r="E10" s="73">
        <f>E8*$A$10</f>
        <v>3000</v>
      </c>
      <c r="F10" s="73">
        <f>F8*$A$10</f>
        <v>3540</v>
      </c>
      <c r="G10" s="63">
        <f t="shared" si="0"/>
        <v>1.18</v>
      </c>
      <c r="H10" s="8"/>
    </row>
    <row r="11" spans="2:10" ht="15">
      <c r="B11" s="7"/>
      <c r="C11" s="14">
        <f t="shared" si="1"/>
        <v>4</v>
      </c>
      <c r="D11" s="60" t="s">
        <v>102</v>
      </c>
      <c r="E11" s="61">
        <v>2000</v>
      </c>
      <c r="F11" s="61">
        <v>2200</v>
      </c>
      <c r="G11" s="63">
        <f t="shared" si="0"/>
        <v>1.1</v>
      </c>
      <c r="H11" s="8"/>
      <c r="J11" s="103" t="s">
        <v>443</v>
      </c>
    </row>
    <row r="12" spans="2:10" ht="15">
      <c r="B12" s="7"/>
      <c r="C12" s="14">
        <f t="shared" si="1"/>
        <v>5</v>
      </c>
      <c r="D12" s="60" t="s">
        <v>103</v>
      </c>
      <c r="E12" s="61">
        <v>35000</v>
      </c>
      <c r="F12" s="61">
        <v>38000</v>
      </c>
      <c r="G12" s="63">
        <f t="shared" si="0"/>
        <v>1.08571</v>
      </c>
      <c r="H12" s="8"/>
      <c r="J12" s="103" t="s">
        <v>444</v>
      </c>
    </row>
    <row r="13" spans="2:10" ht="15">
      <c r="B13" s="7"/>
      <c r="C13" s="14">
        <f t="shared" si="1"/>
        <v>6</v>
      </c>
      <c r="D13" s="60" t="s">
        <v>104</v>
      </c>
      <c r="E13" s="61">
        <v>6900</v>
      </c>
      <c r="F13" s="61">
        <v>7500</v>
      </c>
      <c r="G13" s="63">
        <f t="shared" si="0"/>
        <v>1.08696</v>
      </c>
      <c r="H13" s="8"/>
      <c r="J13" s="103" t="s">
        <v>446</v>
      </c>
    </row>
    <row r="14" spans="2:10" ht="15">
      <c r="B14" s="7"/>
      <c r="C14" s="14">
        <f t="shared" si="1"/>
        <v>7</v>
      </c>
      <c r="D14" s="60" t="s">
        <v>85</v>
      </c>
      <c r="E14" s="61">
        <v>1200</v>
      </c>
      <c r="F14" s="61">
        <v>1250</v>
      </c>
      <c r="G14" s="63">
        <f t="shared" si="0"/>
        <v>1.04167</v>
      </c>
      <c r="H14" s="8"/>
      <c r="J14" s="103" t="s">
        <v>447</v>
      </c>
    </row>
    <row r="15" spans="2:10" ht="15">
      <c r="B15" s="7"/>
      <c r="C15" s="14">
        <f t="shared" si="1"/>
        <v>8</v>
      </c>
      <c r="D15" s="60" t="s">
        <v>105</v>
      </c>
      <c r="E15" s="61">
        <v>2400</v>
      </c>
      <c r="F15" s="61">
        <v>2580</v>
      </c>
      <c r="G15" s="63">
        <f t="shared" si="0"/>
        <v>1.075</v>
      </c>
      <c r="H15" s="8"/>
      <c r="J15" s="103" t="s">
        <v>448</v>
      </c>
    </row>
    <row r="16" spans="2:10" ht="15">
      <c r="B16" s="7"/>
      <c r="C16" s="14">
        <f t="shared" si="1"/>
        <v>9</v>
      </c>
      <c r="D16" s="60" t="s">
        <v>106</v>
      </c>
      <c r="E16" s="61">
        <v>900</v>
      </c>
      <c r="F16" s="61">
        <v>940</v>
      </c>
      <c r="G16" s="63">
        <f t="shared" si="0"/>
        <v>1.04444</v>
      </c>
      <c r="H16" s="8"/>
      <c r="J16" s="103" t="s">
        <v>449</v>
      </c>
    </row>
    <row r="17" spans="2:8" ht="10.5">
      <c r="B17" s="7"/>
      <c r="C17" s="14">
        <f t="shared" si="1"/>
        <v>10</v>
      </c>
      <c r="D17" s="60" t="s">
        <v>107</v>
      </c>
      <c r="E17" s="61">
        <v>2500</v>
      </c>
      <c r="F17" s="61">
        <v>2520</v>
      </c>
      <c r="G17" s="63">
        <f t="shared" si="0"/>
        <v>1.008</v>
      </c>
      <c r="H17" s="8"/>
    </row>
    <row r="18" spans="2:8" ht="10.5">
      <c r="B18" s="7"/>
      <c r="C18" s="14">
        <f t="shared" si="1"/>
        <v>11</v>
      </c>
      <c r="D18" s="60" t="s">
        <v>88</v>
      </c>
      <c r="E18" s="61">
        <v>3500</v>
      </c>
      <c r="F18" s="61">
        <v>7800</v>
      </c>
      <c r="G18" s="63">
        <f t="shared" si="0"/>
        <v>2.22857</v>
      </c>
      <c r="H18" s="8"/>
    </row>
    <row r="19" spans="2:10" ht="15">
      <c r="B19" s="7"/>
      <c r="C19" s="14">
        <f t="shared" si="1"/>
        <v>12</v>
      </c>
      <c r="D19" s="60" t="s">
        <v>108</v>
      </c>
      <c r="E19" s="61">
        <v>12000</v>
      </c>
      <c r="F19" s="61">
        <v>13000</v>
      </c>
      <c r="G19" s="63">
        <f t="shared" si="0"/>
        <v>1.08333</v>
      </c>
      <c r="H19" s="8"/>
      <c r="J19" s="103" t="s">
        <v>450</v>
      </c>
    </row>
    <row r="20" spans="2:10" ht="15">
      <c r="B20" s="7"/>
      <c r="C20" s="14">
        <f t="shared" si="1"/>
        <v>13</v>
      </c>
      <c r="D20" s="60" t="s">
        <v>109</v>
      </c>
      <c r="E20" s="61">
        <v>289</v>
      </c>
      <c r="F20" s="61">
        <v>295</v>
      </c>
      <c r="G20" s="63">
        <f t="shared" si="0"/>
        <v>1.02076</v>
      </c>
      <c r="H20" s="8"/>
      <c r="J20" s="103" t="s">
        <v>410</v>
      </c>
    </row>
    <row r="21" spans="2:8" ht="10.5">
      <c r="B21" s="7"/>
      <c r="C21" s="14">
        <f t="shared" si="1"/>
        <v>14</v>
      </c>
      <c r="D21" s="60" t="s">
        <v>110</v>
      </c>
      <c r="E21" s="61">
        <v>2520</v>
      </c>
      <c r="F21" s="61">
        <v>2680</v>
      </c>
      <c r="G21" s="63">
        <f t="shared" si="0"/>
        <v>1.06349</v>
      </c>
      <c r="H21" s="8"/>
    </row>
    <row r="22" spans="2:8" ht="10.5">
      <c r="B22" s="7"/>
      <c r="C22" s="14">
        <f t="shared" si="1"/>
        <v>15</v>
      </c>
      <c r="D22" s="60" t="s">
        <v>91</v>
      </c>
      <c r="E22" s="61">
        <v>450</v>
      </c>
      <c r="F22" s="61">
        <v>490</v>
      </c>
      <c r="G22" s="63">
        <f t="shared" si="0"/>
        <v>1.08889</v>
      </c>
      <c r="H22" s="8"/>
    </row>
    <row r="23" spans="2:8" ht="10.5">
      <c r="B23" s="7"/>
      <c r="C23" s="14">
        <f t="shared" si="1"/>
        <v>16</v>
      </c>
      <c r="D23" s="60" t="s">
        <v>111</v>
      </c>
      <c r="E23" s="61">
        <v>13400</v>
      </c>
      <c r="F23" s="61">
        <v>14200</v>
      </c>
      <c r="G23" s="63">
        <f t="shared" si="0"/>
        <v>1.0597</v>
      </c>
      <c r="H23" s="8"/>
    </row>
    <row r="24" spans="2:8" ht="10.5">
      <c r="B24" s="7"/>
      <c r="C24" s="14">
        <f t="shared" si="1"/>
        <v>17</v>
      </c>
      <c r="D24" s="60" t="s">
        <v>87</v>
      </c>
      <c r="E24" s="61">
        <v>5600</v>
      </c>
      <c r="F24" s="61">
        <v>5800</v>
      </c>
      <c r="G24" s="63">
        <f t="shared" si="0"/>
        <v>1.03571</v>
      </c>
      <c r="H24" s="8"/>
    </row>
    <row r="25" spans="2:8" ht="10.5">
      <c r="B25" s="7"/>
      <c r="C25" s="14">
        <f t="shared" si="1"/>
        <v>18</v>
      </c>
      <c r="D25" s="60" t="s">
        <v>112</v>
      </c>
      <c r="E25" s="61">
        <v>5000</v>
      </c>
      <c r="F25" s="61">
        <v>5100</v>
      </c>
      <c r="G25" s="63">
        <f t="shared" si="0"/>
        <v>1.02</v>
      </c>
      <c r="H25" s="8"/>
    </row>
    <row r="26" spans="2:8" ht="10.5">
      <c r="B26" s="7"/>
      <c r="C26" s="14">
        <f t="shared" si="1"/>
        <v>19</v>
      </c>
      <c r="D26" s="60" t="s">
        <v>113</v>
      </c>
      <c r="E26" s="61">
        <v>2000</v>
      </c>
      <c r="F26" s="61">
        <v>2200</v>
      </c>
      <c r="G26" s="63">
        <f t="shared" si="0"/>
        <v>1.1</v>
      </c>
      <c r="H26" s="8"/>
    </row>
    <row r="27" spans="2:8" ht="10.5">
      <c r="B27" s="7"/>
      <c r="C27" s="14">
        <f t="shared" si="1"/>
        <v>20</v>
      </c>
      <c r="D27" s="60" t="s">
        <v>114</v>
      </c>
      <c r="E27" s="61">
        <v>21000</v>
      </c>
      <c r="F27" s="61">
        <v>25000</v>
      </c>
      <c r="G27" s="63">
        <f t="shared" si="0"/>
        <v>1.19048</v>
      </c>
      <c r="H27" s="8"/>
    </row>
    <row r="28" spans="2:8" ht="10.5">
      <c r="B28" s="7"/>
      <c r="C28" s="14">
        <f t="shared" si="1"/>
        <v>21</v>
      </c>
      <c r="D28" s="60" t="s">
        <v>93</v>
      </c>
      <c r="E28" s="61">
        <v>45000</v>
      </c>
      <c r="F28" s="61">
        <v>48000</v>
      </c>
      <c r="G28" s="63">
        <f t="shared" si="0"/>
        <v>1.06667</v>
      </c>
      <c r="H28" s="8"/>
    </row>
    <row r="29" spans="2:8" ht="10.5">
      <c r="B29" s="7"/>
      <c r="C29" s="14">
        <f t="shared" si="1"/>
        <v>22</v>
      </c>
      <c r="D29" s="60" t="s">
        <v>94</v>
      </c>
      <c r="E29" s="61">
        <v>1440</v>
      </c>
      <c r="F29" s="61">
        <v>1580</v>
      </c>
      <c r="G29" s="63">
        <f t="shared" si="0"/>
        <v>1.09722</v>
      </c>
      <c r="H29" s="8"/>
    </row>
    <row r="30" spans="2:8" ht="10.5">
      <c r="B30" s="7"/>
      <c r="C30" s="14">
        <f t="shared" si="1"/>
        <v>23</v>
      </c>
      <c r="D30" s="60" t="s">
        <v>97</v>
      </c>
      <c r="E30" s="61">
        <v>48000</v>
      </c>
      <c r="F30" s="61">
        <v>52000</v>
      </c>
      <c r="G30" s="63">
        <f t="shared" si="0"/>
        <v>1.08333</v>
      </c>
      <c r="H30" s="8"/>
    </row>
    <row r="31" spans="2:8" ht="10.5">
      <c r="B31" s="7"/>
      <c r="C31" s="14">
        <f t="shared" si="1"/>
        <v>24</v>
      </c>
      <c r="D31" s="60" t="s">
        <v>4</v>
      </c>
      <c r="E31" s="62">
        <f>SUM(E3:E30)</f>
        <v>884099</v>
      </c>
      <c r="F31" s="62">
        <f>SUM(F3:F30)</f>
        <v>1027275</v>
      </c>
      <c r="G31" s="63">
        <f t="shared" si="0"/>
        <v>1.16195</v>
      </c>
      <c r="H31" s="8"/>
    </row>
    <row r="32" spans="2:8" ht="10.5">
      <c r="B32" s="7"/>
      <c r="C32" s="14">
        <f t="shared" si="1"/>
        <v>25</v>
      </c>
      <c r="D32" s="60" t="s">
        <v>98</v>
      </c>
      <c r="E32" s="106">
        <f>'расчет % ОПР'!E28</f>
        <v>1800000</v>
      </c>
      <c r="F32" s="106">
        <f>'расчет % ОПР'!F28</f>
        <v>2000000</v>
      </c>
      <c r="G32" s="63">
        <f t="shared" si="0"/>
        <v>1.11111</v>
      </c>
      <c r="H32" s="8"/>
    </row>
    <row r="33" spans="2:8" ht="10.5">
      <c r="B33" s="7"/>
      <c r="C33" s="14">
        <f t="shared" si="1"/>
        <v>26</v>
      </c>
      <c r="D33" s="60" t="s">
        <v>115</v>
      </c>
      <c r="E33" s="64">
        <f>ROUND(E31/E32,5)</f>
        <v>0.49117</v>
      </c>
      <c r="F33" s="64">
        <f>ROUND(F31/F32,5)</f>
        <v>0.51364</v>
      </c>
      <c r="G33" s="54"/>
      <c r="H33" s="8"/>
    </row>
    <row r="34" spans="2:48" ht="11.25" thickBot="1">
      <c r="B34" s="25"/>
      <c r="C34" s="26"/>
      <c r="D34" s="26"/>
      <c r="E34" s="26"/>
      <c r="F34" s="26"/>
      <c r="G34" s="26"/>
      <c r="H34" s="27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2:48" ht="10.5"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2:48" ht="10.5">
      <c r="L36" s="24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3:48" ht="10.5">
      <c r="C37" s="31"/>
      <c r="D37" s="31"/>
      <c r="J37" s="23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3:48" ht="10.5">
      <c r="C38" s="31"/>
      <c r="D38" s="31"/>
      <c r="L38" s="28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3:48" ht="10.5">
      <c r="C39" s="31"/>
      <c r="D39" s="67" t="s">
        <v>118</v>
      </c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  <c r="AH39" s="30"/>
      <c r="AI39" s="30"/>
      <c r="AJ39" s="30"/>
      <c r="AK39" s="30"/>
      <c r="AL39" s="30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3:48" ht="10.5">
      <c r="C40" s="31"/>
      <c r="D40" s="31"/>
      <c r="L40" s="28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30"/>
      <c r="AI40" s="30"/>
      <c r="AJ40" s="30"/>
      <c r="AK40" s="30"/>
      <c r="AL40" s="30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3:48" ht="10.5">
      <c r="C41" s="31"/>
      <c r="D41" s="31"/>
      <c r="L41" s="28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0"/>
      <c r="AH41" s="30"/>
      <c r="AI41" s="30"/>
      <c r="AJ41" s="30"/>
      <c r="AK41" s="30"/>
      <c r="AL41" s="30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3:48" ht="10.5">
      <c r="C42" s="31"/>
      <c r="D42" s="31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  <c r="AH42" s="30"/>
      <c r="AI42" s="30"/>
      <c r="AJ42" s="30"/>
      <c r="AK42" s="30"/>
      <c r="AL42" s="30"/>
      <c r="AM42" s="29"/>
      <c r="AN42" s="29"/>
      <c r="AO42" s="29"/>
      <c r="AP42" s="29"/>
      <c r="AQ42" s="29"/>
      <c r="AR42" s="29"/>
      <c r="AS42" s="29"/>
      <c r="AT42" s="29"/>
      <c r="AU42" s="29"/>
      <c r="AV42" s="29"/>
    </row>
    <row r="43" spans="3:48" ht="10.5">
      <c r="C43" s="31"/>
      <c r="D43" s="31"/>
      <c r="L43" s="28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3:48" ht="10.5">
      <c r="C44" s="31"/>
      <c r="D44" s="31"/>
      <c r="L44" s="28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3:48" ht="10.5">
      <c r="C45" s="31"/>
      <c r="D45" s="31"/>
      <c r="L45" s="28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3:48" ht="10.5">
      <c r="C46" s="31"/>
      <c r="D46" s="31"/>
      <c r="L46" s="28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3:48" ht="10.5">
      <c r="C47" s="31"/>
      <c r="D47" s="31"/>
      <c r="L47" s="28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3:48" ht="10.5">
      <c r="C48" s="31"/>
      <c r="D48" s="31"/>
      <c r="L48" s="28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3:4" ht="10.5">
      <c r="C49" s="31"/>
      <c r="D49" s="31"/>
    </row>
  </sheetData>
  <sheetProtection/>
  <mergeCells count="2">
    <mergeCell ref="C4:G4"/>
    <mergeCell ref="C5:G5"/>
  </mergeCells>
  <hyperlinks>
    <hyperlink ref="J4" location="'Калькуляция машино-часа'!A1" display="Калькуляция стоимости 1 часа использования"/>
    <hyperlink ref="J5" location="'Себестоимость 1 машино-часа'!A1" display="Расчет  себестоимости 1 часа использования"/>
    <hyperlink ref="J6" location="'ЗП водителей'!A1" display="Расчет затрат на заработную плату водителей"/>
    <hyperlink ref="J7" location="амортизация!A1" display="Расчет амортизационных отчислений"/>
    <hyperlink ref="J8" location="'расчет % ОПР'!A1" display="Расчет процента общепроизводственных расходов"/>
    <hyperlink ref="J9" location="'расчет % ОХР'!A1" display="Расчет процента общехозяйственных расходов"/>
    <hyperlink ref="J11" location="'Калькуляция 1 км'!A1" display="Калькуляция стоимости 1 км пробега (с топливом)"/>
    <hyperlink ref="J12" location="'Калькуляция 1 км (без топлива)'!A1" display="Калькуляция стоимости 1 км пробега (без топлива)"/>
    <hyperlink ref="J13" location="'Себестоимость 1 км'!A1" display="Расчет себестоимости 1 часа использования"/>
    <hyperlink ref="J14" location="техобслуживание!A1" display="Расчет затрат на техническое обслуживание на 1 км пробега автотранспорта"/>
    <hyperlink ref="J15" location="топливо!A1" display="Расчет затрат на топливо на 1 км пробега автотранспорта"/>
    <hyperlink ref="J16" location="'Затраты на восстановление шин'!A1" display="Расчет  затрат на восстановление шин на 1 км пробега автотранспорта"/>
    <hyperlink ref="J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J20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X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16.140625" style="1" customWidth="1"/>
    <col min="8" max="8" width="16.8515625" style="1" customWidth="1"/>
    <col min="9" max="9" width="13.8515625" style="1" customWidth="1"/>
    <col min="10" max="10" width="4.140625" style="1" customWidth="1"/>
    <col min="11" max="11" width="2.0039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0.5">
      <c r="B3" s="7"/>
      <c r="C3" s="34"/>
      <c r="D3" s="34"/>
      <c r="E3" s="34"/>
      <c r="F3" s="34"/>
      <c r="G3" s="34"/>
      <c r="H3" s="34" t="s">
        <v>7</v>
      </c>
      <c r="I3" s="34"/>
      <c r="J3" s="8"/>
    </row>
    <row r="4" spans="2:12" ht="15">
      <c r="B4" s="7"/>
      <c r="C4" s="34"/>
      <c r="D4" s="34"/>
      <c r="E4" s="34"/>
      <c r="F4" s="34"/>
      <c r="G4" s="34"/>
      <c r="H4" s="68" t="str">
        <f>'Калькуляция машино-часа'!H4</f>
        <v>директор РДУП "Автомобильный парк № 555</v>
      </c>
      <c r="I4" s="34"/>
      <c r="J4" s="8"/>
      <c r="L4" s="103" t="s">
        <v>439</v>
      </c>
    </row>
    <row r="5" spans="2:12" ht="15">
      <c r="B5" s="7"/>
      <c r="C5" s="34"/>
      <c r="D5" s="34"/>
      <c r="E5" s="34"/>
      <c r="F5" s="34"/>
      <c r="G5" s="34"/>
      <c r="H5" s="35"/>
      <c r="I5" s="69" t="str">
        <f>'Калькуляция машино-часа'!I5</f>
        <v>Иванов С.Т.</v>
      </c>
      <c r="J5" s="59"/>
      <c r="L5" s="103" t="s">
        <v>440</v>
      </c>
    </row>
    <row r="6" spans="2:12" ht="15">
      <c r="B6" s="7"/>
      <c r="C6" s="34"/>
      <c r="D6" s="34"/>
      <c r="E6" s="34"/>
      <c r="F6" s="34"/>
      <c r="G6" s="34"/>
      <c r="H6" s="68" t="str">
        <f>'Калькуляция машино-часа'!H6</f>
        <v>"_____" ______________ 20___ г.</v>
      </c>
      <c r="I6" s="36"/>
      <c r="J6" s="59"/>
      <c r="L6" s="103" t="s">
        <v>441</v>
      </c>
    </row>
    <row r="7" spans="2:12" ht="15">
      <c r="B7" s="7"/>
      <c r="C7" s="34"/>
      <c r="D7" s="34"/>
      <c r="E7" s="34"/>
      <c r="F7" s="34"/>
      <c r="G7" s="34"/>
      <c r="H7" s="36"/>
      <c r="I7" s="36"/>
      <c r="J7" s="8"/>
      <c r="L7" s="103" t="s">
        <v>442</v>
      </c>
    </row>
    <row r="8" spans="2:12" ht="15">
      <c r="B8" s="7"/>
      <c r="C8" s="108" t="s">
        <v>13</v>
      </c>
      <c r="D8" s="108"/>
      <c r="E8" s="108"/>
      <c r="F8" s="108"/>
      <c r="G8" s="108"/>
      <c r="H8" s="108"/>
      <c r="I8" s="108"/>
      <c r="J8" s="8"/>
      <c r="L8" s="103" t="s">
        <v>99</v>
      </c>
    </row>
    <row r="9" spans="2:12" ht="15">
      <c r="B9" s="7"/>
      <c r="C9" s="109" t="s">
        <v>119</v>
      </c>
      <c r="D9" s="109"/>
      <c r="E9" s="109"/>
      <c r="F9" s="109"/>
      <c r="G9" s="109"/>
      <c r="H9" s="109"/>
      <c r="I9" s="109"/>
      <c r="J9" s="8"/>
      <c r="L9" s="103" t="s">
        <v>115</v>
      </c>
    </row>
    <row r="10" spans="2:10" ht="26.25" customHeight="1">
      <c r="B10" s="7"/>
      <c r="C10" s="110" t="str">
        <f>'Себестоимость 1 машино-часа'!C6</f>
        <v>Грузопассажирский автомобиль (грузоподъемность 2 т и более, вместимость 5 пассажиро-мест и более)</v>
      </c>
      <c r="D10" s="110"/>
      <c r="E10" s="110"/>
      <c r="F10" s="110"/>
      <c r="G10" s="110"/>
      <c r="H10" s="110"/>
      <c r="I10" s="110"/>
      <c r="J10" s="8"/>
    </row>
    <row r="11" spans="2:12" ht="15">
      <c r="B11" s="7"/>
      <c r="C11" s="9"/>
      <c r="D11" s="9"/>
      <c r="E11" s="9"/>
      <c r="F11" s="9"/>
      <c r="G11" s="9"/>
      <c r="H11" s="9"/>
      <c r="I11" s="9"/>
      <c r="J11" s="8"/>
      <c r="L11" s="103" t="s">
        <v>443</v>
      </c>
    </row>
    <row r="12" spans="2:12" ht="15">
      <c r="B12" s="7"/>
      <c r="C12" s="10"/>
      <c r="D12" s="10"/>
      <c r="E12" s="10"/>
      <c r="F12" s="11"/>
      <c r="G12" s="11"/>
      <c r="H12" s="11"/>
      <c r="I12" s="11"/>
      <c r="J12" s="8"/>
      <c r="L12" s="103" t="s">
        <v>444</v>
      </c>
    </row>
    <row r="13" spans="2:12" ht="15">
      <c r="B13" s="7"/>
      <c r="C13" s="12" t="s">
        <v>1</v>
      </c>
      <c r="D13" s="111" t="s">
        <v>15</v>
      </c>
      <c r="E13" s="111"/>
      <c r="F13" s="111"/>
      <c r="G13" s="111"/>
      <c r="H13" s="13" t="s">
        <v>16</v>
      </c>
      <c r="I13" s="13" t="s">
        <v>2</v>
      </c>
      <c r="J13" s="8"/>
      <c r="L13" s="103" t="s">
        <v>446</v>
      </c>
    </row>
    <row r="14" spans="2:12" ht="15">
      <c r="B14" s="7"/>
      <c r="C14" s="14">
        <v>1</v>
      </c>
      <c r="D14" s="37" t="s">
        <v>120</v>
      </c>
      <c r="E14" s="38"/>
      <c r="F14" s="38"/>
      <c r="G14" s="39"/>
      <c r="H14" s="40"/>
      <c r="I14" s="53">
        <f>'Себестоимость 1 км'!H30</f>
        <v>197</v>
      </c>
      <c r="J14" s="8"/>
      <c r="K14" s="77"/>
      <c r="L14" s="103" t="s">
        <v>447</v>
      </c>
    </row>
    <row r="15" spans="2:12" ht="15">
      <c r="B15" s="7"/>
      <c r="C15" s="14">
        <v>2</v>
      </c>
      <c r="D15" s="37" t="s">
        <v>19</v>
      </c>
      <c r="E15" s="38"/>
      <c r="F15" s="38"/>
      <c r="G15" s="39"/>
      <c r="H15" s="40">
        <v>0.15</v>
      </c>
      <c r="I15" s="16">
        <f>ROUND(I14*H15,0)</f>
        <v>30</v>
      </c>
      <c r="J15" s="8"/>
      <c r="K15" s="77"/>
      <c r="L15" s="103" t="s">
        <v>448</v>
      </c>
    </row>
    <row r="16" spans="2:12" ht="15">
      <c r="B16" s="7"/>
      <c r="C16" s="14">
        <v>3</v>
      </c>
      <c r="D16" s="37" t="s">
        <v>20</v>
      </c>
      <c r="E16" s="38"/>
      <c r="F16" s="38"/>
      <c r="G16" s="39"/>
      <c r="H16" s="40">
        <v>0.34</v>
      </c>
      <c r="I16" s="16">
        <f>ROUND((I14+I15)*H16,0)</f>
        <v>77</v>
      </c>
      <c r="J16" s="8"/>
      <c r="K16" s="77"/>
      <c r="L16" s="103" t="s">
        <v>449</v>
      </c>
    </row>
    <row r="17" spans="2:11" ht="10.5">
      <c r="B17" s="7"/>
      <c r="C17" s="14">
        <v>4</v>
      </c>
      <c r="D17" s="37" t="s">
        <v>21</v>
      </c>
      <c r="E17" s="38"/>
      <c r="F17" s="38"/>
      <c r="G17" s="39"/>
      <c r="H17" s="40">
        <v>0.006</v>
      </c>
      <c r="I17" s="16">
        <f>ROUND((I14+I15)*H17,0)</f>
        <v>1</v>
      </c>
      <c r="J17" s="8"/>
      <c r="K17" s="77"/>
    </row>
    <row r="18" spans="2:11" ht="10.5">
      <c r="B18" s="7"/>
      <c r="C18" s="14">
        <v>5</v>
      </c>
      <c r="D18" s="37" t="s">
        <v>121</v>
      </c>
      <c r="E18" s="38"/>
      <c r="F18" s="38"/>
      <c r="G18" s="39"/>
      <c r="H18" s="40"/>
      <c r="I18" s="16">
        <f>'Себестоимость 1 км'!L30</f>
        <v>74</v>
      </c>
      <c r="J18" s="8"/>
      <c r="K18" s="77"/>
    </row>
    <row r="19" spans="2:12" ht="15">
      <c r="B19" s="7"/>
      <c r="C19" s="14">
        <v>6</v>
      </c>
      <c r="D19" s="37" t="s">
        <v>122</v>
      </c>
      <c r="E19" s="38"/>
      <c r="F19" s="38"/>
      <c r="G19" s="39"/>
      <c r="H19" s="65"/>
      <c r="I19" s="16">
        <f>'Себестоимость 1 км'!M30</f>
        <v>13</v>
      </c>
      <c r="J19" s="8"/>
      <c r="K19" s="77"/>
      <c r="L19" s="103" t="s">
        <v>450</v>
      </c>
    </row>
    <row r="20" spans="2:12" ht="15">
      <c r="B20" s="7"/>
      <c r="C20" s="14">
        <v>7</v>
      </c>
      <c r="D20" s="37" t="s">
        <v>123</v>
      </c>
      <c r="E20" s="38"/>
      <c r="F20" s="38"/>
      <c r="G20" s="39"/>
      <c r="H20" s="65"/>
      <c r="I20" s="16">
        <f>'Себестоимость 1 км'!N30</f>
        <v>15</v>
      </c>
      <c r="J20" s="8"/>
      <c r="K20" s="77"/>
      <c r="L20" s="103" t="s">
        <v>410</v>
      </c>
    </row>
    <row r="21" spans="2:11" ht="10.5">
      <c r="B21" s="7"/>
      <c r="C21" s="14">
        <v>8</v>
      </c>
      <c r="D21" s="37" t="s">
        <v>124</v>
      </c>
      <c r="E21" s="38"/>
      <c r="F21" s="38"/>
      <c r="G21" s="39"/>
      <c r="H21" s="40"/>
      <c r="I21" s="16">
        <f>'Себестоимость 1 км'!O30</f>
        <v>300</v>
      </c>
      <c r="J21" s="8"/>
      <c r="K21" s="77"/>
    </row>
    <row r="22" spans="2:11" ht="10.5">
      <c r="B22" s="7"/>
      <c r="C22" s="14">
        <v>9</v>
      </c>
      <c r="D22" s="37" t="s">
        <v>25</v>
      </c>
      <c r="E22" s="38"/>
      <c r="F22" s="38"/>
      <c r="G22" s="39"/>
      <c r="H22" s="40"/>
      <c r="I22" s="16">
        <f>SUM(I14:I21)</f>
        <v>707</v>
      </c>
      <c r="J22" s="8"/>
      <c r="K22" s="77"/>
    </row>
    <row r="23" spans="2:11" ht="10.5">
      <c r="B23" s="7"/>
      <c r="C23" s="14">
        <v>10</v>
      </c>
      <c r="D23" s="37" t="s">
        <v>26</v>
      </c>
      <c r="E23" s="38"/>
      <c r="F23" s="38"/>
      <c r="G23" s="39"/>
      <c r="H23" s="40">
        <v>0.0025</v>
      </c>
      <c r="I23" s="16">
        <f>ROUND(I22*H23,0)</f>
        <v>2</v>
      </c>
      <c r="J23" s="8"/>
      <c r="K23" s="77"/>
    </row>
    <row r="24" spans="2:11" ht="10.5">
      <c r="B24" s="7"/>
      <c r="C24" s="14">
        <v>11</v>
      </c>
      <c r="D24" s="37" t="s">
        <v>27</v>
      </c>
      <c r="E24" s="38"/>
      <c r="F24" s="38"/>
      <c r="G24" s="39"/>
      <c r="H24" s="40"/>
      <c r="I24" s="16">
        <f>I22+I23</f>
        <v>709</v>
      </c>
      <c r="J24" s="8"/>
      <c r="K24" s="77"/>
    </row>
    <row r="25" spans="2:11" ht="10.5">
      <c r="B25" s="7"/>
      <c r="C25" s="14">
        <v>12</v>
      </c>
      <c r="D25" s="37" t="s">
        <v>28</v>
      </c>
      <c r="E25" s="38"/>
      <c r="F25" s="38"/>
      <c r="G25" s="39"/>
      <c r="H25" s="40">
        <v>0.2</v>
      </c>
      <c r="I25" s="16">
        <f>ROUND(I24*H25,0)</f>
        <v>142</v>
      </c>
      <c r="J25" s="8"/>
      <c r="K25" s="77"/>
    </row>
    <row r="26" spans="2:11" ht="10.5">
      <c r="B26" s="7"/>
      <c r="C26" s="14">
        <v>13</v>
      </c>
      <c r="D26" s="37" t="s">
        <v>29</v>
      </c>
      <c r="E26" s="38"/>
      <c r="F26" s="38"/>
      <c r="G26" s="39"/>
      <c r="H26" s="40"/>
      <c r="I26" s="16">
        <f>I24+I25</f>
        <v>851</v>
      </c>
      <c r="J26" s="8"/>
      <c r="K26" s="77"/>
    </row>
    <row r="27" spans="2:11" ht="10.5">
      <c r="B27" s="7"/>
      <c r="C27" s="14">
        <v>14</v>
      </c>
      <c r="D27" s="37" t="s">
        <v>30</v>
      </c>
      <c r="E27" s="38"/>
      <c r="F27" s="38"/>
      <c r="G27" s="39"/>
      <c r="H27" s="40">
        <v>0.2</v>
      </c>
      <c r="I27" s="16">
        <f>ROUND(I26*H27,0)</f>
        <v>170</v>
      </c>
      <c r="J27" s="8"/>
      <c r="K27" s="77"/>
    </row>
    <row r="28" spans="2:11" ht="10.5">
      <c r="B28" s="7"/>
      <c r="C28" s="14">
        <v>15</v>
      </c>
      <c r="D28" s="37" t="s">
        <v>31</v>
      </c>
      <c r="E28" s="38"/>
      <c r="F28" s="38"/>
      <c r="G28" s="39"/>
      <c r="H28" s="40"/>
      <c r="I28" s="18">
        <f>I26+I27</f>
        <v>1021</v>
      </c>
      <c r="J28" s="8"/>
      <c r="K28" s="77"/>
    </row>
    <row r="29" spans="2:11" ht="10.5">
      <c r="B29" s="7"/>
      <c r="C29" s="10"/>
      <c r="D29" s="10"/>
      <c r="E29" s="10"/>
      <c r="F29" s="11"/>
      <c r="G29" s="11"/>
      <c r="H29" s="11"/>
      <c r="I29" s="11"/>
      <c r="J29" s="8"/>
      <c r="K29" s="77"/>
    </row>
    <row r="30" spans="2:10" ht="10.5">
      <c r="B30" s="7"/>
      <c r="C30" s="10"/>
      <c r="D30" s="10"/>
      <c r="E30" s="10"/>
      <c r="F30" s="11"/>
      <c r="G30" s="11"/>
      <c r="H30" s="11"/>
      <c r="I30" s="11"/>
      <c r="J30" s="8"/>
    </row>
    <row r="31" spans="2:10" ht="10.5">
      <c r="B31" s="7"/>
      <c r="C31" s="10" t="s">
        <v>5</v>
      </c>
      <c r="D31" s="10"/>
      <c r="E31" s="117"/>
      <c r="F31" s="117"/>
      <c r="G31" s="125" t="str">
        <f>'Калькуляция машино-часа'!G31:H31</f>
        <v>Петрова А.А.</v>
      </c>
      <c r="H31" s="125"/>
      <c r="I31" s="11"/>
      <c r="J31" s="8"/>
    </row>
    <row r="32" spans="2:10" ht="10.5">
      <c r="B32" s="7"/>
      <c r="C32" s="10"/>
      <c r="D32" s="10"/>
      <c r="E32" s="115" t="s">
        <v>10</v>
      </c>
      <c r="F32" s="115"/>
      <c r="G32" s="70"/>
      <c r="H32" s="70"/>
      <c r="I32" s="11"/>
      <c r="J32" s="8"/>
    </row>
    <row r="33" spans="2:10" ht="10.5">
      <c r="B33" s="7"/>
      <c r="C33" s="10" t="s">
        <v>6</v>
      </c>
      <c r="D33" s="10"/>
      <c r="E33" s="117"/>
      <c r="F33" s="117"/>
      <c r="G33" s="125" t="str">
        <f>'Калькуляция машино-часа'!G33:H33</f>
        <v>Сидорова А.А.</v>
      </c>
      <c r="H33" s="125"/>
      <c r="I33" s="11"/>
      <c r="J33" s="8"/>
    </row>
    <row r="34" spans="2:10" ht="10.5">
      <c r="B34" s="7"/>
      <c r="C34" s="10"/>
      <c r="D34" s="10"/>
      <c r="E34" s="115" t="s">
        <v>10</v>
      </c>
      <c r="F34" s="115"/>
      <c r="G34" s="11"/>
      <c r="H34" s="11"/>
      <c r="I34" s="11"/>
      <c r="J34" s="8"/>
    </row>
    <row r="35" spans="2:10" ht="10.5">
      <c r="B35" s="7"/>
      <c r="C35" s="10"/>
      <c r="D35" s="10"/>
      <c r="E35" s="10"/>
      <c r="F35" s="11"/>
      <c r="G35" s="11"/>
      <c r="H35" s="11"/>
      <c r="I35" s="11"/>
      <c r="J35" s="8"/>
    </row>
    <row r="36" spans="2:10" ht="10.5">
      <c r="B36" s="7"/>
      <c r="C36" s="10"/>
      <c r="D36" s="10"/>
      <c r="E36" s="10"/>
      <c r="F36" s="11"/>
      <c r="G36" s="11"/>
      <c r="H36" s="11"/>
      <c r="I36" s="11"/>
      <c r="J36" s="8"/>
    </row>
    <row r="37" spans="1:50" s="23" customFormat="1" ht="10.5">
      <c r="A37" s="19"/>
      <c r="B37" s="20"/>
      <c r="C37" s="21"/>
      <c r="D37" s="21"/>
      <c r="E37" s="21"/>
      <c r="F37" s="21"/>
      <c r="G37" s="21"/>
      <c r="H37" s="21"/>
      <c r="I37" s="21"/>
      <c r="J37" s="22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2:50" ht="11.25" thickBot="1">
      <c r="B38" s="25"/>
      <c r="C38" s="26"/>
      <c r="D38" s="26"/>
      <c r="E38" s="26"/>
      <c r="F38" s="26"/>
      <c r="G38" s="26"/>
      <c r="H38" s="26"/>
      <c r="I38" s="26"/>
      <c r="J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4:50" ht="10.5"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4:50" ht="10.5">
      <c r="N40" s="2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30"/>
      <c r="AK40" s="30"/>
      <c r="AL40" s="30"/>
      <c r="AM40" s="30"/>
      <c r="AN40" s="30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3:50" ht="10.5">
      <c r="C41" s="31"/>
      <c r="D41" s="31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30"/>
      <c r="AK41" s="30"/>
      <c r="AL41" s="30"/>
      <c r="AM41" s="30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3:50" ht="10.5">
      <c r="C42" s="31"/>
      <c r="D42" s="31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3:50" ht="10.5">
      <c r="C43" s="31"/>
      <c r="D43" s="31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30"/>
      <c r="AK43" s="30"/>
      <c r="AL43" s="30"/>
      <c r="AM43" s="30"/>
      <c r="AN43" s="30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3:50" ht="10.5">
      <c r="C44" s="31"/>
      <c r="D44" s="31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30"/>
      <c r="AK44" s="30"/>
      <c r="AL44" s="30"/>
      <c r="AM44" s="30"/>
      <c r="AN44" s="30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3:50" ht="10.5">
      <c r="C45" s="31"/>
      <c r="D45" s="31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30"/>
      <c r="AK45" s="30"/>
      <c r="AL45" s="30"/>
      <c r="AM45" s="30"/>
      <c r="AN45" s="30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3:50" ht="10.5">
      <c r="C46" s="31"/>
      <c r="D46" s="31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30"/>
      <c r="AK46" s="30"/>
      <c r="AL46" s="30"/>
      <c r="AM46" s="30"/>
      <c r="AN46" s="30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3:50" ht="10.5">
      <c r="C47" s="31"/>
      <c r="D47" s="31"/>
      <c r="N47" s="28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3:50" ht="10.5">
      <c r="C48" s="31"/>
      <c r="D48" s="31"/>
      <c r="N48" s="28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3:50" ht="10.5">
      <c r="C49" s="31"/>
      <c r="D49" s="31"/>
      <c r="N49" s="28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3:50" ht="10.5">
      <c r="C50" s="31"/>
      <c r="D50" s="31"/>
      <c r="N50" s="28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3:50" ht="10.5">
      <c r="C51" s="31"/>
      <c r="D51" s="31"/>
      <c r="N51" s="2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3:50" ht="10.5">
      <c r="C52" s="31"/>
      <c r="D52" s="31"/>
      <c r="N52" s="28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3:4" ht="10.5">
      <c r="C53" s="31"/>
      <c r="D53" s="31"/>
    </row>
  </sheetData>
  <sheetProtection/>
  <mergeCells count="10">
    <mergeCell ref="C8:I8"/>
    <mergeCell ref="C9:I9"/>
    <mergeCell ref="C10:I10"/>
    <mergeCell ref="D13:G13"/>
    <mergeCell ref="E32:F32"/>
    <mergeCell ref="E33:F33"/>
    <mergeCell ref="G33:H33"/>
    <mergeCell ref="E34:F34"/>
    <mergeCell ref="E31:F31"/>
    <mergeCell ref="G31:H31"/>
  </mergeCells>
  <hyperlinks>
    <hyperlink ref="L4" location="'Калькуляция машино-часа'!A1" display="Калькуляция стоимости 1 часа использования"/>
    <hyperlink ref="L5" location="'Себестоимость 1 машино-часа'!A1" display="Расчет  себестоимости 1 часа использования"/>
    <hyperlink ref="L6" location="'ЗП водителей'!A1" display="Расчет затрат на заработную плату водителей"/>
    <hyperlink ref="L7" location="амортизация!A1" display="Расчет амортизационных отчислений"/>
    <hyperlink ref="L8" location="'расчет % ОПР'!A1" display="Расчет процента общепроизводственных расходов"/>
    <hyperlink ref="L9" location="'расчет % ОХР'!A1" display="Расчет процента общехозяйственных расходов"/>
    <hyperlink ref="L11" location="'Калькуляция 1 км'!A1" display="Калькуляция стоимости 1 км пробега (с топливом)"/>
    <hyperlink ref="L12" location="'Калькуляция 1 км (без топлива)'!A1" display="Калькуляция стоимости 1 км пробега (без топлива)"/>
    <hyperlink ref="L13" location="'Себестоимость 1 км'!A1" display="Расчет себестоимости 1 часа использования"/>
    <hyperlink ref="L14" location="техобслуживание!A1" display="Расчет затрат на техническое обслуживание на 1 км пробега автотранспорта"/>
    <hyperlink ref="L15" location="топливо!A1" display="Расчет затрат на топливо на 1 км пробега автотранспорта"/>
    <hyperlink ref="L16" location="'Затраты на восстановление шин'!A1" display="Расчет  затрат на восстановление шин на 1 км пробега автотранспорта"/>
    <hyperlink ref="L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L20" location="'группы автотранспорта'!A1" display="Группы автотранспорта"/>
  </hyperlinks>
  <printOptions/>
  <pageMargins left="0.7" right="0.7" top="0.75" bottom="0.75" header="0.3" footer="0.3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X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16.140625" style="1" customWidth="1"/>
    <col min="8" max="8" width="16.8515625" style="1" customWidth="1"/>
    <col min="9" max="9" width="13.8515625" style="1" customWidth="1"/>
    <col min="10" max="10" width="4.140625" style="1" customWidth="1"/>
    <col min="11" max="11" width="1.8515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0.5">
      <c r="B3" s="7"/>
      <c r="C3" s="34"/>
      <c r="D3" s="34"/>
      <c r="E3" s="34"/>
      <c r="F3" s="34"/>
      <c r="G3" s="34"/>
      <c r="H3" s="34" t="s">
        <v>7</v>
      </c>
      <c r="I3" s="34"/>
      <c r="J3" s="8"/>
    </row>
    <row r="4" spans="2:12" ht="15">
      <c r="B4" s="7"/>
      <c r="C4" s="34"/>
      <c r="D4" s="34"/>
      <c r="E4" s="34"/>
      <c r="F4" s="34"/>
      <c r="G4" s="34"/>
      <c r="H4" s="68" t="str">
        <f>'Калькуляция машино-часа'!H4</f>
        <v>директор РДУП "Автомобильный парк № 555</v>
      </c>
      <c r="I4" s="34"/>
      <c r="J4" s="8"/>
      <c r="L4" s="103" t="s">
        <v>439</v>
      </c>
    </row>
    <row r="5" spans="2:12" ht="15">
      <c r="B5" s="7"/>
      <c r="C5" s="34"/>
      <c r="D5" s="34"/>
      <c r="E5" s="34"/>
      <c r="F5" s="34"/>
      <c r="G5" s="34"/>
      <c r="H5" s="35"/>
      <c r="I5" s="69" t="str">
        <f>'Калькуляция машино-часа'!I5</f>
        <v>Иванов С.Т.</v>
      </c>
      <c r="J5" s="59"/>
      <c r="L5" s="103" t="s">
        <v>440</v>
      </c>
    </row>
    <row r="6" spans="2:12" ht="15">
      <c r="B6" s="7"/>
      <c r="C6" s="34"/>
      <c r="D6" s="34"/>
      <c r="E6" s="34"/>
      <c r="F6" s="34"/>
      <c r="G6" s="34"/>
      <c r="H6" s="68" t="str">
        <f>'Калькуляция машино-часа'!H6</f>
        <v>"_____" ______________ 20___ г.</v>
      </c>
      <c r="I6" s="36"/>
      <c r="J6" s="59"/>
      <c r="L6" s="103" t="s">
        <v>441</v>
      </c>
    </row>
    <row r="7" spans="2:12" ht="15">
      <c r="B7" s="7"/>
      <c r="C7" s="34"/>
      <c r="D7" s="34"/>
      <c r="E7" s="34"/>
      <c r="F7" s="34"/>
      <c r="G7" s="34"/>
      <c r="H7" s="36"/>
      <c r="I7" s="36"/>
      <c r="J7" s="8"/>
      <c r="L7" s="103" t="s">
        <v>442</v>
      </c>
    </row>
    <row r="8" spans="2:12" ht="15">
      <c r="B8" s="7"/>
      <c r="C8" s="108" t="s">
        <v>13</v>
      </c>
      <c r="D8" s="108"/>
      <c r="E8" s="108"/>
      <c r="F8" s="108"/>
      <c r="G8" s="108"/>
      <c r="H8" s="108"/>
      <c r="I8" s="108"/>
      <c r="J8" s="8"/>
      <c r="L8" s="103" t="s">
        <v>99</v>
      </c>
    </row>
    <row r="9" spans="2:12" ht="15">
      <c r="B9" s="7"/>
      <c r="C9" s="109" t="s">
        <v>125</v>
      </c>
      <c r="D9" s="109"/>
      <c r="E9" s="109"/>
      <c r="F9" s="109"/>
      <c r="G9" s="109"/>
      <c r="H9" s="109"/>
      <c r="I9" s="109"/>
      <c r="J9" s="8"/>
      <c r="L9" s="103" t="s">
        <v>115</v>
      </c>
    </row>
    <row r="10" spans="2:10" ht="24.75" customHeight="1">
      <c r="B10" s="7"/>
      <c r="C10" s="110" t="str">
        <f>'Калькуляция 1 км'!C10:I10</f>
        <v>Грузопассажирский автомобиль (грузоподъемность 2 т и более, вместимость 5 пассажиро-мест и более)</v>
      </c>
      <c r="D10" s="110"/>
      <c r="E10" s="110"/>
      <c r="F10" s="110"/>
      <c r="G10" s="110"/>
      <c r="H10" s="110"/>
      <c r="I10" s="110"/>
      <c r="J10" s="8"/>
    </row>
    <row r="11" spans="2:12" ht="15">
      <c r="B11" s="7"/>
      <c r="C11" s="9"/>
      <c r="D11" s="9"/>
      <c r="E11" s="9"/>
      <c r="F11" s="9"/>
      <c r="G11" s="9"/>
      <c r="H11" s="9"/>
      <c r="I11" s="9"/>
      <c r="J11" s="8"/>
      <c r="L11" s="103" t="s">
        <v>443</v>
      </c>
    </row>
    <row r="12" spans="2:12" ht="15">
      <c r="B12" s="7"/>
      <c r="C12" s="10"/>
      <c r="D12" s="10"/>
      <c r="E12" s="10"/>
      <c r="F12" s="11"/>
      <c r="G12" s="11"/>
      <c r="H12" s="11"/>
      <c r="I12" s="11"/>
      <c r="J12" s="8"/>
      <c r="L12" s="103" t="s">
        <v>444</v>
      </c>
    </row>
    <row r="13" spans="2:12" ht="15">
      <c r="B13" s="7"/>
      <c r="C13" s="12" t="s">
        <v>1</v>
      </c>
      <c r="D13" s="111" t="s">
        <v>15</v>
      </c>
      <c r="E13" s="111"/>
      <c r="F13" s="111"/>
      <c r="G13" s="111"/>
      <c r="H13" s="13" t="s">
        <v>16</v>
      </c>
      <c r="I13" s="13" t="s">
        <v>2</v>
      </c>
      <c r="J13" s="8"/>
      <c r="L13" s="103" t="s">
        <v>446</v>
      </c>
    </row>
    <row r="14" spans="2:12" ht="15">
      <c r="B14" s="7"/>
      <c r="C14" s="14">
        <v>1</v>
      </c>
      <c r="D14" s="37" t="s">
        <v>120</v>
      </c>
      <c r="E14" s="38"/>
      <c r="F14" s="38"/>
      <c r="G14" s="39"/>
      <c r="H14" s="40"/>
      <c r="I14" s="16">
        <f>'Себестоимость 1 км'!H30</f>
        <v>197</v>
      </c>
      <c r="J14" s="8"/>
      <c r="K14" s="77"/>
      <c r="L14" s="103" t="s">
        <v>447</v>
      </c>
    </row>
    <row r="15" spans="2:12" ht="15">
      <c r="B15" s="7"/>
      <c r="C15" s="14">
        <v>2</v>
      </c>
      <c r="D15" s="37" t="s">
        <v>19</v>
      </c>
      <c r="E15" s="38"/>
      <c r="F15" s="38"/>
      <c r="G15" s="39"/>
      <c r="H15" s="40">
        <v>0.15</v>
      </c>
      <c r="I15" s="16">
        <f>ROUND(I14*H15,0)</f>
        <v>30</v>
      </c>
      <c r="J15" s="8"/>
      <c r="K15" s="77"/>
      <c r="L15" s="103" t="s">
        <v>448</v>
      </c>
    </row>
    <row r="16" spans="2:12" ht="15">
      <c r="B16" s="7"/>
      <c r="C16" s="14">
        <v>3</v>
      </c>
      <c r="D16" s="37" t="s">
        <v>20</v>
      </c>
      <c r="E16" s="38"/>
      <c r="F16" s="38"/>
      <c r="G16" s="39"/>
      <c r="H16" s="40">
        <v>0.34</v>
      </c>
      <c r="I16" s="16">
        <f>ROUND((I14+I15)*H16,0)</f>
        <v>77</v>
      </c>
      <c r="J16" s="8"/>
      <c r="K16" s="77"/>
      <c r="L16" s="103" t="s">
        <v>449</v>
      </c>
    </row>
    <row r="17" spans="2:11" ht="10.5">
      <c r="B17" s="7"/>
      <c r="C17" s="14">
        <v>4</v>
      </c>
      <c r="D17" s="37" t="s">
        <v>21</v>
      </c>
      <c r="E17" s="38"/>
      <c r="F17" s="38"/>
      <c r="G17" s="39"/>
      <c r="H17" s="40">
        <v>0.006</v>
      </c>
      <c r="I17" s="16">
        <f>ROUND((I14+I15)*H17,0)</f>
        <v>1</v>
      </c>
      <c r="J17" s="8"/>
      <c r="K17" s="77"/>
    </row>
    <row r="18" spans="2:11" ht="10.5">
      <c r="B18" s="7"/>
      <c r="C18" s="14">
        <v>5</v>
      </c>
      <c r="D18" s="37" t="s">
        <v>121</v>
      </c>
      <c r="E18" s="38"/>
      <c r="F18" s="38"/>
      <c r="G18" s="39"/>
      <c r="H18" s="40"/>
      <c r="I18" s="16">
        <f>'Себестоимость 1 км'!L30</f>
        <v>74</v>
      </c>
      <c r="J18" s="8"/>
      <c r="K18" s="77"/>
    </row>
    <row r="19" spans="2:12" ht="15">
      <c r="B19" s="7"/>
      <c r="C19" s="14">
        <v>6</v>
      </c>
      <c r="D19" s="37" t="s">
        <v>122</v>
      </c>
      <c r="E19" s="38"/>
      <c r="F19" s="38"/>
      <c r="G19" s="39"/>
      <c r="H19" s="65"/>
      <c r="I19" s="16">
        <f>'Себестоимость 1 км'!M30</f>
        <v>13</v>
      </c>
      <c r="J19" s="8"/>
      <c r="K19" s="77"/>
      <c r="L19" s="103" t="s">
        <v>450</v>
      </c>
    </row>
    <row r="20" spans="2:12" ht="15">
      <c r="B20" s="7"/>
      <c r="C20" s="14">
        <v>7</v>
      </c>
      <c r="D20" s="37" t="s">
        <v>123</v>
      </c>
      <c r="E20" s="38"/>
      <c r="F20" s="38"/>
      <c r="G20" s="39"/>
      <c r="H20" s="65"/>
      <c r="I20" s="16">
        <f>'Себестоимость 1 км'!N30</f>
        <v>15</v>
      </c>
      <c r="J20" s="8"/>
      <c r="K20" s="77"/>
      <c r="L20" s="103" t="s">
        <v>410</v>
      </c>
    </row>
    <row r="21" spans="2:11" ht="10.5">
      <c r="B21" s="7"/>
      <c r="C21" s="14">
        <v>8</v>
      </c>
      <c r="D21" s="37" t="s">
        <v>124</v>
      </c>
      <c r="E21" s="38"/>
      <c r="F21" s="38"/>
      <c r="G21" s="39"/>
      <c r="H21" s="40"/>
      <c r="I21" s="15">
        <v>0</v>
      </c>
      <c r="J21" s="8"/>
      <c r="K21" s="77"/>
    </row>
    <row r="22" spans="2:11" ht="10.5">
      <c r="B22" s="7"/>
      <c r="C22" s="14">
        <v>9</v>
      </c>
      <c r="D22" s="37" t="s">
        <v>25</v>
      </c>
      <c r="E22" s="38"/>
      <c r="F22" s="38"/>
      <c r="G22" s="39"/>
      <c r="H22" s="40"/>
      <c r="I22" s="16">
        <f>SUM(I14:I21)</f>
        <v>407</v>
      </c>
      <c r="J22" s="8"/>
      <c r="K22" s="77"/>
    </row>
    <row r="23" spans="2:11" ht="10.5">
      <c r="B23" s="7"/>
      <c r="C23" s="14">
        <v>10</v>
      </c>
      <c r="D23" s="37" t="s">
        <v>26</v>
      </c>
      <c r="E23" s="38"/>
      <c r="F23" s="38"/>
      <c r="G23" s="39"/>
      <c r="H23" s="40">
        <v>0.0025</v>
      </c>
      <c r="I23" s="16">
        <f>ROUND(I22*H23,0)</f>
        <v>1</v>
      </c>
      <c r="J23" s="8"/>
      <c r="K23" s="77"/>
    </row>
    <row r="24" spans="2:11" ht="10.5">
      <c r="B24" s="7"/>
      <c r="C24" s="14">
        <v>11</v>
      </c>
      <c r="D24" s="37" t="s">
        <v>27</v>
      </c>
      <c r="E24" s="38"/>
      <c r="F24" s="38"/>
      <c r="G24" s="39"/>
      <c r="H24" s="40"/>
      <c r="I24" s="16">
        <f>I22+I23</f>
        <v>408</v>
      </c>
      <c r="J24" s="8"/>
      <c r="K24" s="77"/>
    </row>
    <row r="25" spans="2:11" ht="10.5">
      <c r="B25" s="7"/>
      <c r="C25" s="14">
        <v>12</v>
      </c>
      <c r="D25" s="37" t="s">
        <v>28</v>
      </c>
      <c r="E25" s="38"/>
      <c r="F25" s="38"/>
      <c r="G25" s="39"/>
      <c r="H25" s="40">
        <v>0.2</v>
      </c>
      <c r="I25" s="16">
        <f>ROUND(I24*H25,0)</f>
        <v>82</v>
      </c>
      <c r="J25" s="8"/>
      <c r="K25" s="77"/>
    </row>
    <row r="26" spans="2:11" ht="10.5">
      <c r="B26" s="7"/>
      <c r="C26" s="14">
        <v>13</v>
      </c>
      <c r="D26" s="37" t="s">
        <v>29</v>
      </c>
      <c r="E26" s="38"/>
      <c r="F26" s="38"/>
      <c r="G26" s="39"/>
      <c r="H26" s="40"/>
      <c r="I26" s="16">
        <f>I24+I25</f>
        <v>490</v>
      </c>
      <c r="J26" s="8"/>
      <c r="K26" s="77"/>
    </row>
    <row r="27" spans="2:11" ht="10.5">
      <c r="B27" s="7"/>
      <c r="C27" s="14">
        <v>14</v>
      </c>
      <c r="D27" s="37" t="s">
        <v>30</v>
      </c>
      <c r="E27" s="38"/>
      <c r="F27" s="38"/>
      <c r="G27" s="39"/>
      <c r="H27" s="40">
        <v>0.2</v>
      </c>
      <c r="I27" s="16">
        <f>ROUND(I26*H27,0)</f>
        <v>98</v>
      </c>
      <c r="J27" s="8"/>
      <c r="K27" s="77"/>
    </row>
    <row r="28" spans="2:11" ht="10.5">
      <c r="B28" s="7"/>
      <c r="C28" s="14">
        <v>15</v>
      </c>
      <c r="D28" s="37" t="s">
        <v>31</v>
      </c>
      <c r="E28" s="38"/>
      <c r="F28" s="38"/>
      <c r="G28" s="39"/>
      <c r="H28" s="40"/>
      <c r="I28" s="18">
        <f>I26+I27</f>
        <v>588</v>
      </c>
      <c r="J28" s="8"/>
      <c r="K28" s="77"/>
    </row>
    <row r="29" spans="2:11" ht="10.5">
      <c r="B29" s="7"/>
      <c r="C29" s="10"/>
      <c r="D29" s="10"/>
      <c r="E29" s="10"/>
      <c r="F29" s="11"/>
      <c r="G29" s="11"/>
      <c r="H29" s="11"/>
      <c r="I29" s="11"/>
      <c r="J29" s="8"/>
      <c r="K29" s="77"/>
    </row>
    <row r="30" spans="2:10" ht="10.5">
      <c r="B30" s="7"/>
      <c r="C30" s="10"/>
      <c r="D30" s="10"/>
      <c r="E30" s="10"/>
      <c r="F30" s="11"/>
      <c r="G30" s="11"/>
      <c r="H30" s="11"/>
      <c r="I30" s="11"/>
      <c r="J30" s="8"/>
    </row>
    <row r="31" spans="2:10" ht="10.5">
      <c r="B31" s="7"/>
      <c r="C31" s="10" t="s">
        <v>5</v>
      </c>
      <c r="D31" s="10"/>
      <c r="E31" s="117"/>
      <c r="F31" s="117"/>
      <c r="G31" s="125" t="str">
        <f>'Калькуляция машино-часа'!G31:H31</f>
        <v>Петрова А.А.</v>
      </c>
      <c r="H31" s="125"/>
      <c r="I31" s="11"/>
      <c r="J31" s="8"/>
    </row>
    <row r="32" spans="2:10" ht="10.5">
      <c r="B32" s="7"/>
      <c r="C32" s="10"/>
      <c r="D32" s="10"/>
      <c r="E32" s="115" t="s">
        <v>10</v>
      </c>
      <c r="F32" s="115"/>
      <c r="G32" s="70"/>
      <c r="H32" s="70"/>
      <c r="I32" s="11"/>
      <c r="J32" s="8"/>
    </row>
    <row r="33" spans="2:10" ht="10.5">
      <c r="B33" s="7"/>
      <c r="C33" s="10" t="s">
        <v>6</v>
      </c>
      <c r="D33" s="10"/>
      <c r="E33" s="117"/>
      <c r="F33" s="117"/>
      <c r="G33" s="125" t="str">
        <f>'Калькуляция машино-часа'!G33:H33</f>
        <v>Сидорова А.А.</v>
      </c>
      <c r="H33" s="125"/>
      <c r="I33" s="11"/>
      <c r="J33" s="8"/>
    </row>
    <row r="34" spans="2:10" ht="10.5">
      <c r="B34" s="7"/>
      <c r="C34" s="10"/>
      <c r="D34" s="10"/>
      <c r="E34" s="115" t="s">
        <v>10</v>
      </c>
      <c r="F34" s="115"/>
      <c r="G34" s="11"/>
      <c r="H34" s="11"/>
      <c r="I34" s="11"/>
      <c r="J34" s="8"/>
    </row>
    <row r="35" spans="2:10" ht="10.5">
      <c r="B35" s="7"/>
      <c r="C35" s="10"/>
      <c r="D35" s="10"/>
      <c r="E35" s="10"/>
      <c r="F35" s="11"/>
      <c r="G35" s="11"/>
      <c r="H35" s="11"/>
      <c r="I35" s="11"/>
      <c r="J35" s="8"/>
    </row>
    <row r="36" spans="2:10" ht="10.5">
      <c r="B36" s="7"/>
      <c r="C36" s="10"/>
      <c r="D36" s="10"/>
      <c r="E36" s="10"/>
      <c r="F36" s="11"/>
      <c r="G36" s="11"/>
      <c r="H36" s="11"/>
      <c r="I36" s="11"/>
      <c r="J36" s="8"/>
    </row>
    <row r="37" spans="1:50" s="23" customFormat="1" ht="10.5">
      <c r="A37" s="19"/>
      <c r="B37" s="20"/>
      <c r="C37" s="21"/>
      <c r="D37" s="21"/>
      <c r="E37" s="21"/>
      <c r="F37" s="21"/>
      <c r="G37" s="21"/>
      <c r="H37" s="21"/>
      <c r="I37" s="21"/>
      <c r="J37" s="22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2:50" ht="11.25" thickBot="1">
      <c r="B38" s="25"/>
      <c r="C38" s="26"/>
      <c r="D38" s="26"/>
      <c r="E38" s="26"/>
      <c r="F38" s="26"/>
      <c r="G38" s="26"/>
      <c r="H38" s="26"/>
      <c r="I38" s="26"/>
      <c r="J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4:50" ht="10.5"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4:50" ht="10.5">
      <c r="N40" s="2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30"/>
      <c r="AK40" s="30"/>
      <c r="AL40" s="30"/>
      <c r="AM40" s="30"/>
      <c r="AN40" s="30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3:50" ht="10.5">
      <c r="C41" s="31"/>
      <c r="D41" s="31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30"/>
      <c r="AK41" s="30"/>
      <c r="AL41" s="30"/>
      <c r="AM41" s="30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3:50" ht="10.5">
      <c r="C42" s="31"/>
      <c r="D42" s="31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3:50" ht="10.5">
      <c r="C43" s="31"/>
      <c r="D43" s="31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30"/>
      <c r="AK43" s="30"/>
      <c r="AL43" s="30"/>
      <c r="AM43" s="30"/>
      <c r="AN43" s="30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3:50" ht="10.5">
      <c r="C44" s="31"/>
      <c r="D44" s="31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30"/>
      <c r="AK44" s="30"/>
      <c r="AL44" s="30"/>
      <c r="AM44" s="30"/>
      <c r="AN44" s="30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3:50" ht="10.5">
      <c r="C45" s="31"/>
      <c r="D45" s="31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30"/>
      <c r="AK45" s="30"/>
      <c r="AL45" s="30"/>
      <c r="AM45" s="30"/>
      <c r="AN45" s="30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3:50" ht="10.5">
      <c r="C46" s="31"/>
      <c r="D46" s="31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30"/>
      <c r="AK46" s="30"/>
      <c r="AL46" s="30"/>
      <c r="AM46" s="30"/>
      <c r="AN46" s="30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3:50" ht="10.5">
      <c r="C47" s="31"/>
      <c r="D47" s="31"/>
      <c r="N47" s="28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3:50" ht="10.5">
      <c r="C48" s="31"/>
      <c r="D48" s="31"/>
      <c r="N48" s="28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3:50" ht="10.5">
      <c r="C49" s="31"/>
      <c r="D49" s="31"/>
      <c r="N49" s="28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3:50" ht="10.5">
      <c r="C50" s="31"/>
      <c r="D50" s="31"/>
      <c r="N50" s="28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3:50" ht="10.5">
      <c r="C51" s="31"/>
      <c r="D51" s="31"/>
      <c r="N51" s="2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3:50" ht="10.5">
      <c r="C52" s="31"/>
      <c r="D52" s="31"/>
      <c r="N52" s="28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3:4" ht="10.5">
      <c r="C53" s="31"/>
      <c r="D53" s="31"/>
    </row>
  </sheetData>
  <sheetProtection/>
  <mergeCells count="10">
    <mergeCell ref="C8:I8"/>
    <mergeCell ref="C9:I9"/>
    <mergeCell ref="C10:I10"/>
    <mergeCell ref="D13:G13"/>
    <mergeCell ref="E32:F32"/>
    <mergeCell ref="E33:F33"/>
    <mergeCell ref="G33:H33"/>
    <mergeCell ref="E34:F34"/>
    <mergeCell ref="E31:F31"/>
    <mergeCell ref="G31:H31"/>
  </mergeCells>
  <hyperlinks>
    <hyperlink ref="L4" location="'Калькуляция машино-часа'!A1" display="Калькуляция стоимости 1 часа использования"/>
    <hyperlink ref="L5" location="'Себестоимость 1 машино-часа'!A1" display="Расчет  себестоимости 1 часа использования"/>
    <hyperlink ref="L6" location="'ЗП водителей'!A1" display="Расчет затрат на заработную плату водителей"/>
    <hyperlink ref="L7" location="амортизация!A1" display="Расчет амортизационных отчислений"/>
    <hyperlink ref="L8" location="'расчет % ОПР'!A1" display="Расчет процента общепроизводственных расходов"/>
    <hyperlink ref="L9" location="'расчет % ОХР'!A1" display="Расчет процента общехозяйственных расходов"/>
    <hyperlink ref="L11" location="'Калькуляция 1 км'!A1" display="Калькуляция стоимости 1 км пробега (с топливом)"/>
    <hyperlink ref="L12" location="'Калькуляция 1 км (без топлива)'!A1" display="Калькуляция стоимости 1 км пробега (без топлива)"/>
    <hyperlink ref="L13" location="'Себестоимость 1 км'!A1" display="Расчет себестоимости 1 часа использования"/>
    <hyperlink ref="L14" location="техобслуживание!A1" display="Расчет затрат на техническое обслуживание на 1 км пробега автотранспорта"/>
    <hyperlink ref="L15" location="топливо!A1" display="Расчет затрат на топливо на 1 км пробега автотранспорта"/>
    <hyperlink ref="L16" location="'Затраты на восстановление шин'!A1" display="Расчет  затрат на восстановление шин на 1 км пробега автотранспорта"/>
    <hyperlink ref="L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L20" location="'группы автотранспорта'!A1" display="Группы автотранспорта"/>
  </hyperlinks>
  <printOptions/>
  <pageMargins left="0.7" right="0.7" top="0.75" bottom="0.75" header="0.3" footer="0.3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BE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3.140625" style="1" bestFit="1" customWidth="1"/>
    <col min="5" max="5" width="12.00390625" style="1" bestFit="1" customWidth="1"/>
    <col min="6" max="6" width="8.7109375" style="1" customWidth="1"/>
    <col min="7" max="7" width="10.421875" style="1" customWidth="1"/>
    <col min="8" max="8" width="9.7109375" style="1" customWidth="1"/>
    <col min="9" max="9" width="11.57421875" style="1" customWidth="1"/>
    <col min="10" max="10" width="11.140625" style="1" customWidth="1"/>
    <col min="11" max="11" width="9.421875" style="1" customWidth="1"/>
    <col min="12" max="12" width="8.00390625" style="1" bestFit="1" customWidth="1"/>
    <col min="13" max="14" width="8.00390625" style="1" customWidth="1"/>
    <col min="15" max="15" width="6.8515625" style="1" customWidth="1"/>
    <col min="16" max="16" width="8.00390625" style="1" customWidth="1"/>
    <col min="17" max="18" width="2.140625" style="1" customWidth="1"/>
    <col min="19" max="19" width="73.28125" style="1" customWidth="1"/>
    <col min="20" max="16384" width="9.140625" style="1" customWidth="1"/>
  </cols>
  <sheetData>
    <row r="1" spans="1:2" ht="11.25" thickBot="1">
      <c r="A1" s="1"/>
      <c r="B1" s="2" t="s">
        <v>0</v>
      </c>
    </row>
    <row r="2" spans="2:17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2:17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8"/>
    </row>
    <row r="4" spans="2:19" ht="15">
      <c r="B4" s="7"/>
      <c r="C4" s="108" t="s">
        <v>32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8"/>
      <c r="S4" s="103" t="s">
        <v>439</v>
      </c>
    </row>
    <row r="5" spans="2:19" ht="15">
      <c r="B5" s="7"/>
      <c r="C5" s="109" t="s">
        <v>445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8"/>
      <c r="S5" s="103" t="s">
        <v>440</v>
      </c>
    </row>
    <row r="6" spans="2:19" ht="15">
      <c r="B6" s="7"/>
      <c r="C6" s="118" t="str">
        <f>'Калькуляция машино-часа'!C10:I10</f>
        <v>Грузопассажирский автомобиль (грузоподъемность 2 т и более, вместимость 5 пассажиро-мест и более)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8"/>
      <c r="S6" s="103" t="s">
        <v>441</v>
      </c>
    </row>
    <row r="7" spans="2:19" ht="15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8"/>
      <c r="S7" s="103" t="s">
        <v>442</v>
      </c>
    </row>
    <row r="8" spans="2:19" ht="45">
      <c r="B8" s="7"/>
      <c r="C8" s="44" t="s">
        <v>1</v>
      </c>
      <c r="D8" s="44" t="s">
        <v>34</v>
      </c>
      <c r="E8" s="44" t="s">
        <v>35</v>
      </c>
      <c r="F8" s="44" t="s">
        <v>36</v>
      </c>
      <c r="G8" s="44" t="s">
        <v>38</v>
      </c>
      <c r="H8" s="44" t="s">
        <v>128</v>
      </c>
      <c r="I8" s="44" t="str">
        <f>CONCATENATE("Дополнительная заработная плата, руб. (",('Калькуляция 1 км'!H15*100),"%)")</f>
        <v>Дополнительная заработная плата, руб. (15%)</v>
      </c>
      <c r="J8" s="44" t="str">
        <f>CONCATENATE("Отчисления от заработной платы, руб., (",('Калькуляция 1 км'!H16*100),"%)")</f>
        <v>Отчисления от заработной платы, руб., (34%)</v>
      </c>
      <c r="K8" s="44" t="str">
        <f>CONCATENATE("Обязатель- ное страхова- ние, руб., (",('Калькуляция 1 км'!H17*100),"%)")</f>
        <v>Обязатель- ное страхова- ние, руб., (0,6%)</v>
      </c>
      <c r="L8" s="44" t="s">
        <v>129</v>
      </c>
      <c r="M8" s="44" t="s">
        <v>126</v>
      </c>
      <c r="N8" s="44" t="s">
        <v>130</v>
      </c>
      <c r="O8" s="44" t="s">
        <v>127</v>
      </c>
      <c r="P8" s="44" t="s">
        <v>131</v>
      </c>
      <c r="Q8" s="8"/>
      <c r="S8" s="103" t="s">
        <v>99</v>
      </c>
    </row>
    <row r="9" spans="2:19" ht="15">
      <c r="B9" s="7"/>
      <c r="C9" s="14">
        <v>1</v>
      </c>
      <c r="D9" s="71" t="str">
        <f>'Себестоимость 1 машино-часа'!D10</f>
        <v>Ford F-150 5,4i</v>
      </c>
      <c r="E9" s="41" t="str">
        <f>'Себестоимость 1 машино-часа'!E10</f>
        <v>221 kW, 4АКПП</v>
      </c>
      <c r="F9" s="41" t="str">
        <f>'Себестоимость 1 машино-часа'!F10</f>
        <v>6765 АА-5</v>
      </c>
      <c r="G9" s="41" t="str">
        <f>'Себестоимость 1 машино-часа'!G10</f>
        <v>Трансп. цех</v>
      </c>
      <c r="H9" s="53">
        <f>IF(техобслуживание!P11=0,"-",техобслуживание!P11)</f>
        <v>131</v>
      </c>
      <c r="I9" s="16">
        <f>IF(H9="-","-",ROUND(H9*'Калькуляция 1 км'!$H$15,0))</f>
        <v>20</v>
      </c>
      <c r="J9" s="16">
        <f>IF(H9="-","-",ROUND((H9+I9)*'Калькуляция 1 км'!$H$16,0))</f>
        <v>51</v>
      </c>
      <c r="K9" s="16">
        <f>IF(H9="-","-",ROUND((H9+I9)*'Калькуляция 1 км'!$H$17,1))</f>
        <v>0.9</v>
      </c>
      <c r="L9" s="53">
        <f>IF(техобслуживание!Q11=0,"-",техобслуживание!Q11)</f>
        <v>77</v>
      </c>
      <c r="M9" s="53">
        <f>IF(техобслуживание!R11=0,"-",техобслуживание!R11)</f>
        <v>19</v>
      </c>
      <c r="N9" s="53">
        <f>IF('Затраты на восстановление шин'!N9=0,"-",'Затраты на восстановление шин'!N9)</f>
        <v>17</v>
      </c>
      <c r="O9" s="53">
        <f>IF(топливо!R11=0,"-",топливо!R11)</f>
        <v>548.17</v>
      </c>
      <c r="P9" s="16">
        <f>SUM(H9:O9)</f>
        <v>864.0699999999999</v>
      </c>
      <c r="Q9" s="8"/>
      <c r="S9" s="103" t="s">
        <v>115</v>
      </c>
    </row>
    <row r="10" spans="2:17" ht="10.5">
      <c r="B10" s="7"/>
      <c r="C10" s="14">
        <f>C9+1</f>
        <v>2</v>
      </c>
      <c r="D10" s="71" t="str">
        <f>'Себестоимость 1 машино-часа'!D11</f>
        <v>Fiat Doblo 1,9JTD</v>
      </c>
      <c r="E10" s="41" t="str">
        <f>'Себестоимость 1 машино-часа'!E11</f>
        <v>77 kW</v>
      </c>
      <c r="F10" s="41" t="str">
        <f>'Себестоимость 1 машино-часа'!F11</f>
        <v>5642 ВВ-5</v>
      </c>
      <c r="G10" s="41" t="str">
        <f>'Себестоимость 1 машино-часа'!G11</f>
        <v>Трансп. цех</v>
      </c>
      <c r="H10" s="53">
        <f>IF(техобслуживание!P12=0,"-",техобслуживание!P12)</f>
        <v>190</v>
      </c>
      <c r="I10" s="16">
        <f>IF(H10="-","-",ROUND(H10*'Калькуляция 1 км'!$H$15,0))</f>
        <v>29</v>
      </c>
      <c r="J10" s="16">
        <f>IF(H10="-","-",ROUND((H10+I10)*'Калькуляция 1 км'!$H$16,0))</f>
        <v>74</v>
      </c>
      <c r="K10" s="16">
        <f>IF(H10="-","-",ROUND((H10+I10)*'Калькуляция 1 км'!$H$17,1))</f>
        <v>1.3</v>
      </c>
      <c r="L10" s="53">
        <f>IF(техобслуживание!Q12=0,"-",техобслуживание!Q12)</f>
        <v>61</v>
      </c>
      <c r="M10" s="53">
        <f>IF(техобслуживание!R12=0,"-",техобслуживание!R12)</f>
        <v>8</v>
      </c>
      <c r="N10" s="53">
        <f>IF('Затраты на восстановление шин'!N10=0,"-",'Затраты на восстановление шин'!N10)</f>
        <v>16</v>
      </c>
      <c r="O10" s="53">
        <f>IF(топливо!R12=0,"-",топливо!R12)</f>
        <v>172.86</v>
      </c>
      <c r="P10" s="16">
        <f aca="true" t="shared" si="0" ref="P10:P29">SUM(H10:O10)</f>
        <v>552.1600000000001</v>
      </c>
      <c r="Q10" s="8"/>
    </row>
    <row r="11" spans="2:19" ht="15">
      <c r="B11" s="7"/>
      <c r="C11" s="14">
        <f aca="true" t="shared" si="1" ref="C11:C29">C10+1</f>
        <v>3</v>
      </c>
      <c r="D11" s="71" t="str">
        <f>'Себестоимость 1 машино-часа'!D12</f>
        <v>Mercedes Benz Vito 108  2,1CDi</v>
      </c>
      <c r="E11" s="41" t="str">
        <f>'Себестоимость 1 машино-часа'!E12</f>
        <v>58 kW</v>
      </c>
      <c r="F11" s="41" t="str">
        <f>'Себестоимость 1 машино-часа'!F12</f>
        <v>4455 EA-5</v>
      </c>
      <c r="G11" s="41" t="str">
        <f>'Себестоимость 1 машино-часа'!G12</f>
        <v>Трансп. цех</v>
      </c>
      <c r="H11" s="53">
        <f>IF(техобслуживание!P13=0,"-",техобслуживание!P13)</f>
        <v>190</v>
      </c>
      <c r="I11" s="16">
        <f>IF(H11="-","-",ROUND(H11*'Калькуляция 1 км'!$H$15,0))</f>
        <v>29</v>
      </c>
      <c r="J11" s="16">
        <f>IF(H11="-","-",ROUND((H11+I11)*'Калькуляция 1 км'!$H$16,0))</f>
        <v>74</v>
      </c>
      <c r="K11" s="16">
        <f>IF(H11="-","-",ROUND((H11+I11)*'Калькуляция 1 км'!$H$17,1))</f>
        <v>1.3</v>
      </c>
      <c r="L11" s="53">
        <f>IF(техобслуживание!Q13=0,"-",техобслуживание!Q13)</f>
        <v>61</v>
      </c>
      <c r="M11" s="53">
        <f>IF(техобслуживание!R13=0,"-",техобслуживание!R13)</f>
        <v>13</v>
      </c>
      <c r="N11" s="53">
        <f>IF('Затраты на восстановление шин'!N11=0,"-",'Затраты на восстановление шин'!N11)</f>
        <v>12</v>
      </c>
      <c r="O11" s="53">
        <f>IF(топливо!R13=0,"-",топливо!R13)</f>
        <v>273.48</v>
      </c>
      <c r="P11" s="16">
        <f t="shared" si="0"/>
        <v>653.78</v>
      </c>
      <c r="Q11" s="8"/>
      <c r="S11" s="103" t="s">
        <v>443</v>
      </c>
    </row>
    <row r="12" spans="2:19" ht="15">
      <c r="B12" s="7"/>
      <c r="C12" s="14">
        <f t="shared" si="1"/>
        <v>4</v>
      </c>
      <c r="D12" s="71" t="str">
        <f>'Себестоимость 1 машино-часа'!D13</f>
        <v>Renault Kangoo 1,9D</v>
      </c>
      <c r="E12" s="41" t="str">
        <f>'Себестоимость 1 машино-часа'!E13</f>
        <v>47 kW</v>
      </c>
      <c r="F12" s="41" t="str">
        <f>'Себестоимость 1 машино-часа'!F13</f>
        <v>4785 AX-5</v>
      </c>
      <c r="G12" s="41" t="str">
        <f>'Себестоимость 1 машино-часа'!G13</f>
        <v>Трансп. цех</v>
      </c>
      <c r="H12" s="53">
        <f>IF(техобслуживание!P14=0,"-",техобслуживание!P14)</f>
        <v>233</v>
      </c>
      <c r="I12" s="16">
        <f>IF(H12="-","-",ROUND(H12*'Калькуляция 1 км'!$H$15,0))</f>
        <v>35</v>
      </c>
      <c r="J12" s="16">
        <f>IF(H12="-","-",ROUND((H12+I12)*'Калькуляция 1 км'!$H$16,0))</f>
        <v>91</v>
      </c>
      <c r="K12" s="16">
        <f>IF(H12="-","-",ROUND((H12+I12)*'Калькуляция 1 км'!$H$17,1))</f>
        <v>1.6</v>
      </c>
      <c r="L12" s="53">
        <f>IF(техобслуживание!Q14=0,"-",техобслуживание!Q14)</f>
        <v>84</v>
      </c>
      <c r="M12" s="53">
        <f>IF(техобслуживание!R14=0,"-",техобслуживание!R14)</f>
        <v>9</v>
      </c>
      <c r="N12" s="53">
        <f>IF('Затраты на восстановление шин'!N12=0,"-",'Затраты на восстановление шин'!N12)</f>
        <v>16</v>
      </c>
      <c r="O12" s="53">
        <f>IF(топливо!R14=0,"-",топливо!R14)</f>
        <v>185.76000000000002</v>
      </c>
      <c r="P12" s="16">
        <f t="shared" si="0"/>
        <v>655.36</v>
      </c>
      <c r="Q12" s="8"/>
      <c r="S12" s="103" t="s">
        <v>444</v>
      </c>
    </row>
    <row r="13" spans="2:19" ht="15">
      <c r="B13" s="7"/>
      <c r="C13" s="14">
        <f t="shared" si="1"/>
        <v>5</v>
      </c>
      <c r="D13" s="71" t="str">
        <f>'Себестоимость 1 машино-часа'!D14</f>
        <v>ГАЗ-27527</v>
      </c>
      <c r="E13" s="41" t="str">
        <f>'Себестоимость 1 машино-часа'!E14</f>
        <v>ЗМЗ-40522R</v>
      </c>
      <c r="F13" s="41" t="str">
        <f>'Себестоимость 1 машино-часа'!F14</f>
        <v>2210 KK-5</v>
      </c>
      <c r="G13" s="41" t="str">
        <f>'Себестоимость 1 машино-часа'!G14</f>
        <v>Трансп. цех</v>
      </c>
      <c r="H13" s="53">
        <f>IF(техобслуживание!P15=0,"-",техобслуживание!P15)</f>
        <v>242</v>
      </c>
      <c r="I13" s="16">
        <f>IF(H13="-","-",ROUND(H13*'Калькуляция 1 км'!$H$15,0))</f>
        <v>36</v>
      </c>
      <c r="J13" s="16">
        <f>IF(H13="-","-",ROUND((H13+I13)*'Калькуляция 1 км'!$H$16,0))</f>
        <v>95</v>
      </c>
      <c r="K13" s="16">
        <f>IF(H13="-","-",ROUND((H13+I13)*'Калькуляция 1 км'!$H$17,1))</f>
        <v>1.7</v>
      </c>
      <c r="L13" s="53">
        <f>IF(техобслуживание!Q15=0,"-",техобслуживание!Q15)</f>
        <v>85</v>
      </c>
      <c r="M13" s="53">
        <f>IF(техобслуживание!R15=0,"-",техобслуживание!R15)</f>
        <v>15</v>
      </c>
      <c r="N13" s="53">
        <f>IF('Затраты на восстановление шин'!N13=0,"-",'Затраты на восстановление шин'!N13)</f>
        <v>12</v>
      </c>
      <c r="O13" s="53">
        <f>IF(топливо!R15=0,"-",топливо!R15)</f>
        <v>319.49999999999994</v>
      </c>
      <c r="P13" s="16">
        <f t="shared" si="0"/>
        <v>806.1999999999999</v>
      </c>
      <c r="Q13" s="8"/>
      <c r="S13" s="103" t="s">
        <v>446</v>
      </c>
    </row>
    <row r="14" spans="2:19" ht="15">
      <c r="B14" s="7"/>
      <c r="C14" s="14">
        <f t="shared" si="1"/>
        <v>6</v>
      </c>
      <c r="D14" s="71">
        <f>'Себестоимость 1 машино-часа'!D15</f>
        <v>0</v>
      </c>
      <c r="E14" s="41">
        <f>'Себестоимость 1 машино-часа'!E15</f>
        <v>0</v>
      </c>
      <c r="F14" s="41">
        <f>'Себестоимость 1 машино-часа'!F15</f>
        <v>0</v>
      </c>
      <c r="G14" s="41">
        <f>'Себестоимость 1 машино-часа'!G15</f>
        <v>0</v>
      </c>
      <c r="H14" s="53" t="str">
        <f>IF(техобслуживание!P16=0,"-",техобслуживание!P16)</f>
        <v>-</v>
      </c>
      <c r="I14" s="16" t="str">
        <f>IF(H14="-","-",ROUND(H14*'Калькуляция 1 км'!$H$15,0))</f>
        <v>-</v>
      </c>
      <c r="J14" s="16" t="str">
        <f>IF(H14="-","-",ROUND((H14+I14)*'Калькуляция 1 км'!$H$16,0))</f>
        <v>-</v>
      </c>
      <c r="K14" s="16" t="str">
        <f>IF(H14="-","-",ROUND((H14+I14)*'Калькуляция 1 км'!$H$17,1))</f>
        <v>-</v>
      </c>
      <c r="L14" s="53" t="str">
        <f>IF(техобслуживание!Q16=0,"-",техобслуживание!Q16)</f>
        <v>-</v>
      </c>
      <c r="M14" s="53" t="str">
        <f>IF(техобслуживание!R16=0,"-",техобслуживание!R16)</f>
        <v>-</v>
      </c>
      <c r="N14" s="53" t="str">
        <f>IF('Затраты на восстановление шин'!N14=0,"-",'Затраты на восстановление шин'!N14)</f>
        <v>-</v>
      </c>
      <c r="O14" s="53" t="str">
        <f>IF(топливо!R16=0,"-",топливо!R16)</f>
        <v>-</v>
      </c>
      <c r="P14" s="16">
        <f t="shared" si="0"/>
        <v>0</v>
      </c>
      <c r="Q14" s="8"/>
      <c r="S14" s="103" t="s">
        <v>447</v>
      </c>
    </row>
    <row r="15" spans="2:19" ht="15">
      <c r="B15" s="7"/>
      <c r="C15" s="14">
        <f t="shared" si="1"/>
        <v>7</v>
      </c>
      <c r="D15" s="71">
        <f>'Себестоимость 1 машино-часа'!D16</f>
        <v>0</v>
      </c>
      <c r="E15" s="41">
        <f>'Себестоимость 1 машино-часа'!E16</f>
        <v>0</v>
      </c>
      <c r="F15" s="41">
        <f>'Себестоимость 1 машино-часа'!F16</f>
        <v>0</v>
      </c>
      <c r="G15" s="41">
        <f>'Себестоимость 1 машино-часа'!G16</f>
        <v>0</v>
      </c>
      <c r="H15" s="53" t="str">
        <f>IF(техобслуживание!P17=0,"-",техобслуживание!P17)</f>
        <v>-</v>
      </c>
      <c r="I15" s="16" t="str">
        <f>IF(H15="-","-",ROUND(H15*'Калькуляция 1 км'!$H$15,0))</f>
        <v>-</v>
      </c>
      <c r="J15" s="16" t="str">
        <f>IF(H15="-","-",ROUND((H15+I15)*'Калькуляция 1 км'!$H$16,0))</f>
        <v>-</v>
      </c>
      <c r="K15" s="16" t="str">
        <f>IF(H15="-","-",ROUND((H15+I15)*'Калькуляция 1 км'!$H$17,1))</f>
        <v>-</v>
      </c>
      <c r="L15" s="53" t="str">
        <f>IF(техобслуживание!Q17=0,"-",техобслуживание!Q17)</f>
        <v>-</v>
      </c>
      <c r="M15" s="53" t="str">
        <f>IF(техобслуживание!R17=0,"-",техобслуживание!R17)</f>
        <v>-</v>
      </c>
      <c r="N15" s="53" t="str">
        <f>IF('Затраты на восстановление шин'!N15=0,"-",'Затраты на восстановление шин'!N15)</f>
        <v>-</v>
      </c>
      <c r="O15" s="53" t="str">
        <f>IF(топливо!R17=0,"-",топливо!R17)</f>
        <v>-</v>
      </c>
      <c r="P15" s="16">
        <f t="shared" si="0"/>
        <v>0</v>
      </c>
      <c r="Q15" s="8"/>
      <c r="S15" s="103" t="s">
        <v>448</v>
      </c>
    </row>
    <row r="16" spans="2:19" ht="15">
      <c r="B16" s="7"/>
      <c r="C16" s="14">
        <f t="shared" si="1"/>
        <v>8</v>
      </c>
      <c r="D16" s="71">
        <f>'Себестоимость 1 машино-часа'!D17</f>
        <v>0</v>
      </c>
      <c r="E16" s="41">
        <f>'Себестоимость 1 машино-часа'!E17</f>
        <v>0</v>
      </c>
      <c r="F16" s="41">
        <f>'Себестоимость 1 машино-часа'!F17</f>
        <v>0</v>
      </c>
      <c r="G16" s="41">
        <f>'Себестоимость 1 машино-часа'!G17</f>
        <v>0</v>
      </c>
      <c r="H16" s="53" t="str">
        <f>IF(техобслуживание!P18=0,"-",техобслуживание!P18)</f>
        <v>-</v>
      </c>
      <c r="I16" s="16" t="str">
        <f>IF(H16="-","-",ROUND(H16*'Калькуляция 1 км'!$H$15,0))</f>
        <v>-</v>
      </c>
      <c r="J16" s="16" t="str">
        <f>IF(H16="-","-",ROUND((H16+I16)*'Калькуляция 1 км'!$H$16,0))</f>
        <v>-</v>
      </c>
      <c r="K16" s="16" t="str">
        <f>IF(H16="-","-",ROUND((H16+I16)*'Калькуляция 1 км'!$H$17,1))</f>
        <v>-</v>
      </c>
      <c r="L16" s="53" t="str">
        <f>IF(техобслуживание!Q18=0,"-",техобслуживание!Q18)</f>
        <v>-</v>
      </c>
      <c r="M16" s="53" t="str">
        <f>IF(техобслуживание!R18=0,"-",техобслуживание!R18)</f>
        <v>-</v>
      </c>
      <c r="N16" s="53" t="str">
        <f>IF('Затраты на восстановление шин'!N16=0,"-",'Затраты на восстановление шин'!N16)</f>
        <v>-</v>
      </c>
      <c r="O16" s="53" t="str">
        <f>IF(топливо!R18=0,"-",топливо!R18)</f>
        <v>-</v>
      </c>
      <c r="P16" s="16">
        <f t="shared" si="0"/>
        <v>0</v>
      </c>
      <c r="Q16" s="8"/>
      <c r="S16" s="103" t="s">
        <v>449</v>
      </c>
    </row>
    <row r="17" spans="2:17" ht="10.5">
      <c r="B17" s="7"/>
      <c r="C17" s="14">
        <f t="shared" si="1"/>
        <v>9</v>
      </c>
      <c r="D17" s="71">
        <f>'Себестоимость 1 машино-часа'!D18</f>
        <v>0</v>
      </c>
      <c r="E17" s="41">
        <f>'Себестоимость 1 машино-часа'!E18</f>
        <v>0</v>
      </c>
      <c r="F17" s="41">
        <f>'Себестоимость 1 машино-часа'!F18</f>
        <v>0</v>
      </c>
      <c r="G17" s="41">
        <f>'Себестоимость 1 машино-часа'!G18</f>
        <v>0</v>
      </c>
      <c r="H17" s="53" t="str">
        <f>IF(техобслуживание!P19=0,"-",техобслуживание!P19)</f>
        <v>-</v>
      </c>
      <c r="I17" s="16" t="str">
        <f>IF(H17="-","-",ROUND(H17*'Калькуляция 1 км'!$H$15,0))</f>
        <v>-</v>
      </c>
      <c r="J17" s="16" t="str">
        <f>IF(H17="-","-",ROUND((H17+I17)*'Калькуляция 1 км'!$H$16,0))</f>
        <v>-</v>
      </c>
      <c r="K17" s="16" t="str">
        <f>IF(H17="-","-",ROUND((H17+I17)*'Калькуляция 1 км'!$H$17,1))</f>
        <v>-</v>
      </c>
      <c r="L17" s="53" t="str">
        <f>IF(техобслуживание!Q19=0,"-",техобслуживание!Q19)</f>
        <v>-</v>
      </c>
      <c r="M17" s="53" t="str">
        <f>IF(техобслуживание!R19=0,"-",техобслуживание!R19)</f>
        <v>-</v>
      </c>
      <c r="N17" s="53" t="str">
        <f>IF('Затраты на восстановление шин'!N17=0,"-",'Затраты на восстановление шин'!N17)</f>
        <v>-</v>
      </c>
      <c r="O17" s="53" t="str">
        <f>IF(топливо!R19=0,"-",топливо!R19)</f>
        <v>-</v>
      </c>
      <c r="P17" s="16">
        <f t="shared" si="0"/>
        <v>0</v>
      </c>
      <c r="Q17" s="8"/>
    </row>
    <row r="18" spans="2:17" ht="10.5">
      <c r="B18" s="7"/>
      <c r="C18" s="14">
        <f t="shared" si="1"/>
        <v>10</v>
      </c>
      <c r="D18" s="71">
        <f>'Себестоимость 1 машино-часа'!D19</f>
        <v>0</v>
      </c>
      <c r="E18" s="41">
        <f>'Себестоимость 1 машино-часа'!E19</f>
        <v>0</v>
      </c>
      <c r="F18" s="41">
        <f>'Себестоимость 1 машино-часа'!F19</f>
        <v>0</v>
      </c>
      <c r="G18" s="41">
        <f>'Себестоимость 1 машино-часа'!G19</f>
        <v>0</v>
      </c>
      <c r="H18" s="53" t="str">
        <f>IF(техобслуживание!P20=0,"-",техобслуживание!P20)</f>
        <v>-</v>
      </c>
      <c r="I18" s="16" t="str">
        <f>IF(H18="-","-",ROUND(H18*'Калькуляция 1 км'!$H$15,0))</f>
        <v>-</v>
      </c>
      <c r="J18" s="16" t="str">
        <f>IF(H18="-","-",ROUND((H18+I18)*'Калькуляция 1 км'!$H$16,0))</f>
        <v>-</v>
      </c>
      <c r="K18" s="16" t="str">
        <f>IF(H18="-","-",ROUND((H18+I18)*'Калькуляция 1 км'!$H$17,1))</f>
        <v>-</v>
      </c>
      <c r="L18" s="53" t="str">
        <f>IF(техобслуживание!Q20=0,"-",техобслуживание!Q20)</f>
        <v>-</v>
      </c>
      <c r="M18" s="53" t="str">
        <f>IF(техобслуживание!R20=0,"-",техобслуживание!R20)</f>
        <v>-</v>
      </c>
      <c r="N18" s="53" t="str">
        <f>IF('Затраты на восстановление шин'!N18=0,"-",'Затраты на восстановление шин'!N18)</f>
        <v>-</v>
      </c>
      <c r="O18" s="53" t="str">
        <f>IF(топливо!R20=0,"-",топливо!R20)</f>
        <v>-</v>
      </c>
      <c r="P18" s="16">
        <f t="shared" si="0"/>
        <v>0</v>
      </c>
      <c r="Q18" s="8"/>
    </row>
    <row r="19" spans="2:19" ht="15">
      <c r="B19" s="7"/>
      <c r="C19" s="14">
        <f t="shared" si="1"/>
        <v>11</v>
      </c>
      <c r="D19" s="71">
        <f>'Себестоимость 1 машино-часа'!D20</f>
        <v>0</v>
      </c>
      <c r="E19" s="41">
        <f>'Себестоимость 1 машино-часа'!E20</f>
        <v>0</v>
      </c>
      <c r="F19" s="41">
        <f>'Себестоимость 1 машино-часа'!F20</f>
        <v>0</v>
      </c>
      <c r="G19" s="41">
        <f>'Себестоимость 1 машино-часа'!G20</f>
        <v>0</v>
      </c>
      <c r="H19" s="53" t="str">
        <f>IF(техобслуживание!P21=0,"-",техобслуживание!P21)</f>
        <v>-</v>
      </c>
      <c r="I19" s="16" t="str">
        <f>IF(H19="-","-",ROUND(H19*'Калькуляция 1 км'!$H$15,0))</f>
        <v>-</v>
      </c>
      <c r="J19" s="16" t="str">
        <f>IF(H19="-","-",ROUND((H19+I19)*'Калькуляция 1 км'!$H$16,0))</f>
        <v>-</v>
      </c>
      <c r="K19" s="16" t="str">
        <f>IF(H19="-","-",ROUND((H19+I19)*'Калькуляция 1 км'!$H$17,1))</f>
        <v>-</v>
      </c>
      <c r="L19" s="53" t="str">
        <f>IF(техобслуживание!Q21=0,"-",техобслуживание!Q21)</f>
        <v>-</v>
      </c>
      <c r="M19" s="53" t="str">
        <f>IF(техобслуживание!R21=0,"-",техобслуживание!R21)</f>
        <v>-</v>
      </c>
      <c r="N19" s="53" t="str">
        <f>IF('Затраты на восстановление шин'!N19=0,"-",'Затраты на восстановление шин'!N19)</f>
        <v>-</v>
      </c>
      <c r="O19" s="53" t="str">
        <f>IF(топливо!R21=0,"-",топливо!R21)</f>
        <v>-</v>
      </c>
      <c r="P19" s="16">
        <f t="shared" si="0"/>
        <v>0</v>
      </c>
      <c r="Q19" s="8"/>
      <c r="S19" s="103" t="s">
        <v>450</v>
      </c>
    </row>
    <row r="20" spans="2:19" ht="15">
      <c r="B20" s="7"/>
      <c r="C20" s="14">
        <f t="shared" si="1"/>
        <v>12</v>
      </c>
      <c r="D20" s="71">
        <f>'Себестоимость 1 машино-часа'!D21</f>
        <v>0</v>
      </c>
      <c r="E20" s="41">
        <f>'Себестоимость 1 машино-часа'!E21</f>
        <v>0</v>
      </c>
      <c r="F20" s="41">
        <f>'Себестоимость 1 машино-часа'!F21</f>
        <v>0</v>
      </c>
      <c r="G20" s="41">
        <f>'Себестоимость 1 машино-часа'!G21</f>
        <v>0</v>
      </c>
      <c r="H20" s="53" t="str">
        <f>IF(техобслуживание!P22=0,"-",техобслуживание!P22)</f>
        <v>-</v>
      </c>
      <c r="I20" s="16" t="str">
        <f>IF(H20="-","-",ROUND(H20*'Калькуляция 1 км'!$H$15,0))</f>
        <v>-</v>
      </c>
      <c r="J20" s="16" t="str">
        <f>IF(H20="-","-",ROUND((H20+I20)*'Калькуляция 1 км'!$H$16,0))</f>
        <v>-</v>
      </c>
      <c r="K20" s="16" t="str">
        <f>IF(H20="-","-",ROUND((H20+I20)*'Калькуляция 1 км'!$H$17,1))</f>
        <v>-</v>
      </c>
      <c r="L20" s="53" t="str">
        <f>IF(техобслуживание!Q22=0,"-",техобслуживание!Q22)</f>
        <v>-</v>
      </c>
      <c r="M20" s="53" t="str">
        <f>IF(техобслуживание!R22=0,"-",техобслуживание!R22)</f>
        <v>-</v>
      </c>
      <c r="N20" s="53" t="str">
        <f>IF('Затраты на восстановление шин'!N20=0,"-",'Затраты на восстановление шин'!N20)</f>
        <v>-</v>
      </c>
      <c r="O20" s="53" t="str">
        <f>IF(топливо!R22=0,"-",топливо!R22)</f>
        <v>-</v>
      </c>
      <c r="P20" s="16">
        <f t="shared" si="0"/>
        <v>0</v>
      </c>
      <c r="Q20" s="8"/>
      <c r="S20" s="103" t="s">
        <v>410</v>
      </c>
    </row>
    <row r="21" spans="2:17" ht="10.5">
      <c r="B21" s="7"/>
      <c r="C21" s="14">
        <f t="shared" si="1"/>
        <v>13</v>
      </c>
      <c r="D21" s="71">
        <f>'Себестоимость 1 машино-часа'!D22</f>
        <v>0</v>
      </c>
      <c r="E21" s="41">
        <f>'Себестоимость 1 машино-часа'!E22</f>
        <v>0</v>
      </c>
      <c r="F21" s="41">
        <f>'Себестоимость 1 машино-часа'!F22</f>
        <v>0</v>
      </c>
      <c r="G21" s="41">
        <f>'Себестоимость 1 машино-часа'!G22</f>
        <v>0</v>
      </c>
      <c r="H21" s="53" t="str">
        <f>IF(техобслуживание!P23=0,"-",техобслуживание!P23)</f>
        <v>-</v>
      </c>
      <c r="I21" s="16" t="str">
        <f>IF(H21="-","-",ROUND(H21*'Калькуляция 1 км'!$H$15,0))</f>
        <v>-</v>
      </c>
      <c r="J21" s="16" t="str">
        <f>IF(H21="-","-",ROUND((H21+I21)*'Калькуляция 1 км'!$H$16,0))</f>
        <v>-</v>
      </c>
      <c r="K21" s="16" t="str">
        <f>IF(H21="-","-",ROUND((H21+I21)*'Калькуляция 1 км'!$H$17,1))</f>
        <v>-</v>
      </c>
      <c r="L21" s="53" t="str">
        <f>IF(техобслуживание!Q23=0,"-",техобслуживание!Q23)</f>
        <v>-</v>
      </c>
      <c r="M21" s="53" t="str">
        <f>IF(техобслуживание!R23=0,"-",техобслуживание!R23)</f>
        <v>-</v>
      </c>
      <c r="N21" s="53" t="str">
        <f>IF('Затраты на восстановление шин'!N21=0,"-",'Затраты на восстановление шин'!N21)</f>
        <v>-</v>
      </c>
      <c r="O21" s="53" t="str">
        <f>IF(топливо!R23=0,"-",топливо!R23)</f>
        <v>-</v>
      </c>
      <c r="P21" s="16">
        <f t="shared" si="0"/>
        <v>0</v>
      </c>
      <c r="Q21" s="8"/>
    </row>
    <row r="22" spans="2:17" ht="10.5">
      <c r="B22" s="7"/>
      <c r="C22" s="14">
        <f t="shared" si="1"/>
        <v>14</v>
      </c>
      <c r="D22" s="71">
        <f>'Себестоимость 1 машино-часа'!D23</f>
        <v>0</v>
      </c>
      <c r="E22" s="41">
        <f>'Себестоимость 1 машино-часа'!E23</f>
        <v>0</v>
      </c>
      <c r="F22" s="41">
        <f>'Себестоимость 1 машино-часа'!F23</f>
        <v>0</v>
      </c>
      <c r="G22" s="41">
        <f>'Себестоимость 1 машино-часа'!G23</f>
        <v>0</v>
      </c>
      <c r="H22" s="53" t="str">
        <f>IF(техобслуживание!P24=0,"-",техобслуживание!P24)</f>
        <v>-</v>
      </c>
      <c r="I22" s="16" t="str">
        <f>IF(H22="-","-",ROUND(H22*'Калькуляция 1 км'!$H$15,0))</f>
        <v>-</v>
      </c>
      <c r="J22" s="16" t="str">
        <f>IF(H22="-","-",ROUND((H22+I22)*'Калькуляция 1 км'!$H$16,0))</f>
        <v>-</v>
      </c>
      <c r="K22" s="16" t="str">
        <f>IF(H22="-","-",ROUND((H22+I22)*'Калькуляция 1 км'!$H$17,1))</f>
        <v>-</v>
      </c>
      <c r="L22" s="53" t="str">
        <f>IF(техобслуживание!Q24=0,"-",техобслуживание!Q24)</f>
        <v>-</v>
      </c>
      <c r="M22" s="53" t="str">
        <f>IF(техобслуживание!R24=0,"-",техобслуживание!R24)</f>
        <v>-</v>
      </c>
      <c r="N22" s="53" t="str">
        <f>IF('Затраты на восстановление шин'!N22=0,"-",'Затраты на восстановление шин'!N22)</f>
        <v>-</v>
      </c>
      <c r="O22" s="53" t="str">
        <f>IF(топливо!R24=0,"-",топливо!R24)</f>
        <v>-</v>
      </c>
      <c r="P22" s="16">
        <f t="shared" si="0"/>
        <v>0</v>
      </c>
      <c r="Q22" s="8"/>
    </row>
    <row r="23" spans="2:17" ht="10.5">
      <c r="B23" s="7"/>
      <c r="C23" s="14">
        <f t="shared" si="1"/>
        <v>15</v>
      </c>
      <c r="D23" s="71">
        <f>'Себестоимость 1 машино-часа'!D24</f>
        <v>0</v>
      </c>
      <c r="E23" s="41">
        <f>'Себестоимость 1 машино-часа'!E24</f>
        <v>0</v>
      </c>
      <c r="F23" s="41">
        <f>'Себестоимость 1 машино-часа'!F24</f>
        <v>0</v>
      </c>
      <c r="G23" s="41">
        <f>'Себестоимость 1 машино-часа'!G24</f>
        <v>0</v>
      </c>
      <c r="H23" s="53" t="str">
        <f>IF(техобслуживание!P25=0,"-",техобслуживание!P25)</f>
        <v>-</v>
      </c>
      <c r="I23" s="16" t="str">
        <f>IF(H23="-","-",ROUND(H23*'Калькуляция 1 км'!$H$15,0))</f>
        <v>-</v>
      </c>
      <c r="J23" s="16" t="str">
        <f>IF(H23="-","-",ROUND((H23+I23)*'Калькуляция 1 км'!$H$16,0))</f>
        <v>-</v>
      </c>
      <c r="K23" s="16" t="str">
        <f>IF(H23="-","-",ROUND((H23+I23)*'Калькуляция 1 км'!$H$17,1))</f>
        <v>-</v>
      </c>
      <c r="L23" s="53" t="str">
        <f>IF(техобслуживание!Q25=0,"-",техобслуживание!Q25)</f>
        <v>-</v>
      </c>
      <c r="M23" s="53" t="str">
        <f>IF(техобслуживание!R25=0,"-",техобслуживание!R25)</f>
        <v>-</v>
      </c>
      <c r="N23" s="53" t="str">
        <f>IF('Затраты на восстановление шин'!N23=0,"-",'Затраты на восстановление шин'!N23)</f>
        <v>-</v>
      </c>
      <c r="O23" s="53" t="str">
        <f>IF(топливо!R25=0,"-",топливо!R25)</f>
        <v>-</v>
      </c>
      <c r="P23" s="16">
        <f t="shared" si="0"/>
        <v>0</v>
      </c>
      <c r="Q23" s="8"/>
    </row>
    <row r="24" spans="2:17" ht="10.5">
      <c r="B24" s="7"/>
      <c r="C24" s="14">
        <f t="shared" si="1"/>
        <v>16</v>
      </c>
      <c r="D24" s="71">
        <f>'Себестоимость 1 машино-часа'!D25</f>
        <v>0</v>
      </c>
      <c r="E24" s="41">
        <f>'Себестоимость 1 машино-часа'!E25</f>
        <v>0</v>
      </c>
      <c r="F24" s="41">
        <f>'Себестоимость 1 машино-часа'!F25</f>
        <v>0</v>
      </c>
      <c r="G24" s="41">
        <f>'Себестоимость 1 машино-часа'!G25</f>
        <v>0</v>
      </c>
      <c r="H24" s="53" t="str">
        <f>IF(техобслуживание!P26=0,"-",техобслуживание!P26)</f>
        <v>-</v>
      </c>
      <c r="I24" s="16" t="str">
        <f>IF(H24="-","-",ROUND(H24*'Калькуляция 1 км'!$H$15,0))</f>
        <v>-</v>
      </c>
      <c r="J24" s="16" t="str">
        <f>IF(H24="-","-",ROUND((H24+I24)*'Калькуляция 1 км'!$H$16,0))</f>
        <v>-</v>
      </c>
      <c r="K24" s="16" t="str">
        <f>IF(H24="-","-",ROUND((H24+I24)*'Калькуляция 1 км'!$H$17,1))</f>
        <v>-</v>
      </c>
      <c r="L24" s="53" t="str">
        <f>IF(техобслуживание!Q26=0,"-",техобслуживание!Q26)</f>
        <v>-</v>
      </c>
      <c r="M24" s="53" t="str">
        <f>IF(техобслуживание!R26=0,"-",техобслуживание!R26)</f>
        <v>-</v>
      </c>
      <c r="N24" s="53" t="str">
        <f>IF('Затраты на восстановление шин'!N24=0,"-",'Затраты на восстановление шин'!N24)</f>
        <v>-</v>
      </c>
      <c r="O24" s="53" t="str">
        <f>IF(топливо!R26=0,"-",топливо!R26)</f>
        <v>-</v>
      </c>
      <c r="P24" s="16">
        <f t="shared" si="0"/>
        <v>0</v>
      </c>
      <c r="Q24" s="8"/>
    </row>
    <row r="25" spans="2:17" ht="10.5">
      <c r="B25" s="7"/>
      <c r="C25" s="14">
        <f t="shared" si="1"/>
        <v>17</v>
      </c>
      <c r="D25" s="71">
        <f>'Себестоимость 1 машино-часа'!D26</f>
        <v>0</v>
      </c>
      <c r="E25" s="41">
        <f>'Себестоимость 1 машино-часа'!E26</f>
        <v>0</v>
      </c>
      <c r="F25" s="41">
        <f>'Себестоимость 1 машино-часа'!F26</f>
        <v>0</v>
      </c>
      <c r="G25" s="41">
        <f>'Себестоимость 1 машино-часа'!G26</f>
        <v>0</v>
      </c>
      <c r="H25" s="53" t="str">
        <f>IF(техобслуживание!P27=0,"-",техобслуживание!P27)</f>
        <v>-</v>
      </c>
      <c r="I25" s="16" t="str">
        <f>IF(H25="-","-",ROUND(H25*'Калькуляция 1 км'!$H$15,0))</f>
        <v>-</v>
      </c>
      <c r="J25" s="16" t="str">
        <f>IF(H25="-","-",ROUND((H25+I25)*'Калькуляция 1 км'!$H$16,0))</f>
        <v>-</v>
      </c>
      <c r="K25" s="16" t="str">
        <f>IF(H25="-","-",ROUND((H25+I25)*'Калькуляция 1 км'!$H$17,1))</f>
        <v>-</v>
      </c>
      <c r="L25" s="53" t="str">
        <f>IF(техобслуживание!Q27=0,"-",техобслуживание!Q27)</f>
        <v>-</v>
      </c>
      <c r="M25" s="53" t="str">
        <f>IF(техобслуживание!R27=0,"-",техобслуживание!R27)</f>
        <v>-</v>
      </c>
      <c r="N25" s="53" t="str">
        <f>IF('Затраты на восстановление шин'!N25=0,"-",'Затраты на восстановление шин'!N25)</f>
        <v>-</v>
      </c>
      <c r="O25" s="53" t="str">
        <f>IF(топливо!R27=0,"-",топливо!R27)</f>
        <v>-</v>
      </c>
      <c r="P25" s="16">
        <f t="shared" si="0"/>
        <v>0</v>
      </c>
      <c r="Q25" s="8"/>
    </row>
    <row r="26" spans="2:17" ht="10.5">
      <c r="B26" s="7"/>
      <c r="C26" s="14">
        <f t="shared" si="1"/>
        <v>18</v>
      </c>
      <c r="D26" s="71">
        <f>'Себестоимость 1 машино-часа'!D27</f>
        <v>0</v>
      </c>
      <c r="E26" s="41">
        <f>'Себестоимость 1 машино-часа'!E27</f>
        <v>0</v>
      </c>
      <c r="F26" s="41">
        <f>'Себестоимость 1 машино-часа'!F27</f>
        <v>0</v>
      </c>
      <c r="G26" s="41">
        <f>'Себестоимость 1 машино-часа'!G27</f>
        <v>0</v>
      </c>
      <c r="H26" s="53" t="str">
        <f>IF(техобслуживание!P28=0,"-",техобслуживание!P28)</f>
        <v>-</v>
      </c>
      <c r="I26" s="16" t="str">
        <f>IF(H26="-","-",ROUND(H26*'Калькуляция 1 км'!$H$15,0))</f>
        <v>-</v>
      </c>
      <c r="J26" s="16" t="str">
        <f>IF(H26="-","-",ROUND((H26+I26)*'Калькуляция 1 км'!$H$16,0))</f>
        <v>-</v>
      </c>
      <c r="K26" s="16" t="str">
        <f>IF(H26="-","-",ROUND((H26+I26)*'Калькуляция 1 км'!$H$17,1))</f>
        <v>-</v>
      </c>
      <c r="L26" s="53" t="str">
        <f>IF(техобслуживание!Q28=0,"-",техобслуживание!Q28)</f>
        <v>-</v>
      </c>
      <c r="M26" s="53" t="str">
        <f>IF(техобслуживание!R28=0,"-",техобслуживание!R28)</f>
        <v>-</v>
      </c>
      <c r="N26" s="53" t="str">
        <f>IF('Затраты на восстановление шин'!N26=0,"-",'Затраты на восстановление шин'!N26)</f>
        <v>-</v>
      </c>
      <c r="O26" s="53" t="str">
        <f>IF(топливо!R28=0,"-",топливо!R28)</f>
        <v>-</v>
      </c>
      <c r="P26" s="16">
        <f t="shared" si="0"/>
        <v>0</v>
      </c>
      <c r="Q26" s="8"/>
    </row>
    <row r="27" spans="2:17" ht="10.5">
      <c r="B27" s="7"/>
      <c r="C27" s="14">
        <f t="shared" si="1"/>
        <v>19</v>
      </c>
      <c r="D27" s="71">
        <f>'Себестоимость 1 машино-часа'!D28</f>
        <v>0</v>
      </c>
      <c r="E27" s="41">
        <f>'Себестоимость 1 машино-часа'!E28</f>
        <v>0</v>
      </c>
      <c r="F27" s="41">
        <f>'Себестоимость 1 машино-часа'!F28</f>
        <v>0</v>
      </c>
      <c r="G27" s="41">
        <f>'Себестоимость 1 машино-часа'!G28</f>
        <v>0</v>
      </c>
      <c r="H27" s="53" t="str">
        <f>IF(техобслуживание!P29=0,"-",техобслуживание!P29)</f>
        <v>-</v>
      </c>
      <c r="I27" s="16" t="str">
        <f>IF(H27="-","-",ROUND(H27*'Калькуляция 1 км'!$H$15,0))</f>
        <v>-</v>
      </c>
      <c r="J27" s="16" t="str">
        <f>IF(H27="-","-",ROUND((H27+I27)*'Калькуляция 1 км'!$H$16,0))</f>
        <v>-</v>
      </c>
      <c r="K27" s="16" t="str">
        <f>IF(H27="-","-",ROUND((H27+I27)*'Калькуляция 1 км'!$H$17,1))</f>
        <v>-</v>
      </c>
      <c r="L27" s="53" t="str">
        <f>IF(техобслуживание!Q29=0,"-",техобслуживание!Q29)</f>
        <v>-</v>
      </c>
      <c r="M27" s="53" t="str">
        <f>IF(техобслуживание!R29=0,"-",техобслуживание!R29)</f>
        <v>-</v>
      </c>
      <c r="N27" s="53" t="str">
        <f>IF('Затраты на восстановление шин'!N27=0,"-",'Затраты на восстановление шин'!N27)</f>
        <v>-</v>
      </c>
      <c r="O27" s="53" t="str">
        <f>IF(топливо!R29=0,"-",топливо!R29)</f>
        <v>-</v>
      </c>
      <c r="P27" s="16">
        <f t="shared" si="0"/>
        <v>0</v>
      </c>
      <c r="Q27" s="8"/>
    </row>
    <row r="28" spans="2:17" ht="10.5">
      <c r="B28" s="7"/>
      <c r="C28" s="14">
        <f t="shared" si="1"/>
        <v>20</v>
      </c>
      <c r="D28" s="71">
        <f>'Себестоимость 1 машино-часа'!D29</f>
        <v>0</v>
      </c>
      <c r="E28" s="41">
        <f>'Себестоимость 1 машино-часа'!E29</f>
        <v>0</v>
      </c>
      <c r="F28" s="41">
        <f>'Себестоимость 1 машино-часа'!F29</f>
        <v>0</v>
      </c>
      <c r="G28" s="41">
        <f>'Себестоимость 1 машино-часа'!G29</f>
        <v>0</v>
      </c>
      <c r="H28" s="53" t="str">
        <f>IF(техобслуживание!P30=0,"-",техобслуживание!P30)</f>
        <v>-</v>
      </c>
      <c r="I28" s="16" t="str">
        <f>IF(H28="-","-",ROUND(H28*'Калькуляция 1 км'!$H$15,0))</f>
        <v>-</v>
      </c>
      <c r="J28" s="16" t="str">
        <f>IF(H28="-","-",ROUND((H28+I28)*'Калькуляция 1 км'!$H$16,0))</f>
        <v>-</v>
      </c>
      <c r="K28" s="16" t="str">
        <f>IF(H28="-","-",ROUND((H28+I28)*'Калькуляция 1 км'!$H$17,1))</f>
        <v>-</v>
      </c>
      <c r="L28" s="53" t="str">
        <f>IF(техобслуживание!Q30=0,"-",техобслуживание!Q30)</f>
        <v>-</v>
      </c>
      <c r="M28" s="53" t="str">
        <f>IF(техобслуживание!R30=0,"-",техобслуживание!R30)</f>
        <v>-</v>
      </c>
      <c r="N28" s="53" t="str">
        <f>IF('Затраты на восстановление шин'!N28=0,"-",'Затраты на восстановление шин'!N28)</f>
        <v>-</v>
      </c>
      <c r="O28" s="53" t="str">
        <f>IF(топливо!R30=0,"-",топливо!R30)</f>
        <v>-</v>
      </c>
      <c r="P28" s="16">
        <f t="shared" si="0"/>
        <v>0</v>
      </c>
      <c r="Q28" s="8"/>
    </row>
    <row r="29" spans="2:17" ht="10.5">
      <c r="B29" s="7"/>
      <c r="C29" s="14">
        <f t="shared" si="1"/>
        <v>21</v>
      </c>
      <c r="D29" s="71">
        <f>'Себестоимость 1 машино-часа'!D30</f>
        <v>0</v>
      </c>
      <c r="E29" s="41">
        <f>'Себестоимость 1 машино-часа'!E30</f>
        <v>0</v>
      </c>
      <c r="F29" s="41">
        <f>'Себестоимость 1 машино-часа'!F30</f>
        <v>0</v>
      </c>
      <c r="G29" s="41">
        <f>'Себестоимость 1 машино-часа'!G30</f>
        <v>0</v>
      </c>
      <c r="H29" s="53" t="str">
        <f>IF(техобслуживание!P31=0,"-",техобслуживание!P31)</f>
        <v>-</v>
      </c>
      <c r="I29" s="16" t="str">
        <f>IF(H29="-","-",ROUND(H29*'Калькуляция 1 км'!$H$15,0))</f>
        <v>-</v>
      </c>
      <c r="J29" s="16" t="str">
        <f>IF(H29="-","-",ROUND((H29+I29)*'Калькуляция 1 км'!$H$16,0))</f>
        <v>-</v>
      </c>
      <c r="K29" s="16" t="str">
        <f>IF(H29="-","-",ROUND((H29+I29)*'Калькуляция 1 км'!$H$17,1))</f>
        <v>-</v>
      </c>
      <c r="L29" s="53" t="str">
        <f>IF(техобслуживание!Q31=0,"-",техобслуживание!Q31)</f>
        <v>-</v>
      </c>
      <c r="M29" s="53" t="str">
        <f>IF(техобслуживание!R31=0,"-",техобслуживание!R31)</f>
        <v>-</v>
      </c>
      <c r="N29" s="53" t="str">
        <f>IF('Затраты на восстановление шин'!N29=0,"-",'Затраты на восстановление шин'!N29)</f>
        <v>-</v>
      </c>
      <c r="O29" s="53" t="str">
        <f>IF(топливо!R31=0,"-",топливо!R31)</f>
        <v>-</v>
      </c>
      <c r="P29" s="16">
        <f t="shared" si="0"/>
        <v>0</v>
      </c>
      <c r="Q29" s="8"/>
    </row>
    <row r="30" spans="2:17" ht="10.5">
      <c r="B30" s="7"/>
      <c r="C30" s="14"/>
      <c r="D30" s="17" t="s">
        <v>43</v>
      </c>
      <c r="E30" s="46" t="s">
        <v>42</v>
      </c>
      <c r="F30" s="46" t="s">
        <v>42</v>
      </c>
      <c r="G30" s="46" t="s">
        <v>42</v>
      </c>
      <c r="H30" s="18">
        <f>ROUND(AVERAGE(H9:H29),0)</f>
        <v>197</v>
      </c>
      <c r="I30" s="18">
        <f aca="true" t="shared" si="2" ref="I30:P30">ROUND(AVERAGE(I9:I29),0)</f>
        <v>30</v>
      </c>
      <c r="J30" s="18">
        <f t="shared" si="2"/>
        <v>77</v>
      </c>
      <c r="K30" s="18">
        <f t="shared" si="2"/>
        <v>1</v>
      </c>
      <c r="L30" s="18">
        <f t="shared" si="2"/>
        <v>74</v>
      </c>
      <c r="M30" s="18">
        <f t="shared" si="2"/>
        <v>13</v>
      </c>
      <c r="N30" s="18">
        <f t="shared" si="2"/>
        <v>15</v>
      </c>
      <c r="O30" s="18">
        <f t="shared" si="2"/>
        <v>300</v>
      </c>
      <c r="P30" s="18">
        <f t="shared" si="2"/>
        <v>168</v>
      </c>
      <c r="Q30" s="8"/>
    </row>
    <row r="31" spans="2:17" ht="10.5"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</row>
    <row r="32" spans="2:57" ht="11.25" thickBot="1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21:57" ht="10.5">
      <c r="U33" s="2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30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21:57" ht="10.5">
      <c r="U34" s="24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0"/>
      <c r="AQ34" s="30"/>
      <c r="AR34" s="30"/>
      <c r="AS34" s="30"/>
      <c r="AT34" s="30"/>
      <c r="AU34" s="30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3:57" ht="10.5">
      <c r="C35" s="31"/>
      <c r="D35" s="31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3:57" ht="10.5">
      <c r="C36" s="31"/>
      <c r="D36" s="31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0"/>
      <c r="AR36" s="30"/>
      <c r="AS36" s="30"/>
      <c r="AT36" s="30"/>
      <c r="AU36" s="30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3:57" ht="10.5">
      <c r="C37" s="31"/>
      <c r="D37" s="31"/>
      <c r="S37" s="23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3:57" ht="10.5">
      <c r="C38" s="31"/>
      <c r="D38" s="31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0"/>
      <c r="AR38" s="30"/>
      <c r="AS38" s="30"/>
      <c r="AT38" s="30"/>
      <c r="AU38" s="30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3:57" ht="10.5">
      <c r="C39" s="31"/>
      <c r="D39" s="31"/>
      <c r="U39" s="28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0"/>
      <c r="AR39" s="30"/>
      <c r="AS39" s="30"/>
      <c r="AT39" s="30"/>
      <c r="AU39" s="30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3:57" ht="10.5">
      <c r="C40" s="31"/>
      <c r="D40" s="31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0"/>
      <c r="AR40" s="30"/>
      <c r="AS40" s="30"/>
      <c r="AT40" s="30"/>
      <c r="AU40" s="30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3:57" ht="10.5">
      <c r="C41" s="31"/>
      <c r="D41" s="31"/>
      <c r="U41" s="28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3:57" ht="10.5">
      <c r="C42" s="31"/>
      <c r="D42" s="31"/>
      <c r="U42" s="28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3:57" ht="10.5">
      <c r="C43" s="31"/>
      <c r="D43" s="31"/>
      <c r="U43" s="28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3:57" ht="10.5">
      <c r="C44" s="31"/>
      <c r="D44" s="31"/>
      <c r="U44" s="28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3:57" ht="10.5">
      <c r="C45" s="31"/>
      <c r="D45" s="31"/>
      <c r="U45" s="28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3:57" ht="10.5">
      <c r="C46" s="31"/>
      <c r="D46" s="31"/>
      <c r="U46" s="28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3:4" ht="10.5">
      <c r="C47" s="31"/>
      <c r="D47" s="31"/>
    </row>
  </sheetData>
  <sheetProtection/>
  <mergeCells count="3">
    <mergeCell ref="C4:P4"/>
    <mergeCell ref="C5:P5"/>
    <mergeCell ref="C6:P6"/>
  </mergeCells>
  <hyperlinks>
    <hyperlink ref="S4" location="'Калькуляция машино-часа'!A1" display="Калькуляция стоимости 1 часа использования"/>
    <hyperlink ref="S5" location="'Себестоимость 1 машино-часа'!A1" display="Расчет  себестоимости 1 часа использования"/>
    <hyperlink ref="S6" location="'ЗП водителей'!A1" display="Расчет затрат на заработную плату водителей"/>
    <hyperlink ref="S7" location="амортизация!A1" display="Расчет амортизационных отчислений"/>
    <hyperlink ref="S8" location="'расчет % ОПР'!A1" display="Расчет процента общепроизводственных расходов"/>
    <hyperlink ref="S9" location="'расчет % ОХР'!A1" display="Расчет процента общехозяйственных расходов"/>
    <hyperlink ref="S11" location="'Калькуляция 1 км'!A1" display="Калькуляция стоимости 1 км пробега (с топливом)"/>
    <hyperlink ref="S12" location="'Калькуляция 1 км (без топлива)'!A1" display="Калькуляция стоимости 1 км пробега (без топлива)"/>
    <hyperlink ref="S13" location="'Себестоимость 1 км'!A1" display="Расчет себестоимости 1 часа использования"/>
    <hyperlink ref="S14" location="техобслуживание!A1" display="Расчет затрат на техническое обслуживание на 1 км пробега автотранспорта"/>
    <hyperlink ref="S15" location="топливо!A1" display="Расчет затрат на топливо на 1 км пробега автотранспорта"/>
    <hyperlink ref="S16" location="'Затраты на восстановление шин'!A1" display="Расчет  затрат на восстановление шин на 1 км пробега автотранспорта"/>
    <hyperlink ref="S19" location="'Нормы затрат на ремонт и ТО'!A1" display="Нормы затрат на техническое обслуживание и ремонт подвижного состава автомобильного транспорта"/>
    <hyperlink ref="S20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1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u-jeenn</dc:creator>
  <cp:keywords/>
  <dc:description/>
  <cp:lastModifiedBy>Козарез Алексей</cp:lastModifiedBy>
  <cp:lastPrinted>2010-09-19T15:15:41Z</cp:lastPrinted>
  <dcterms:created xsi:type="dcterms:W3CDTF">2010-09-19T09:30:36Z</dcterms:created>
  <dcterms:modified xsi:type="dcterms:W3CDTF">2021-03-17T10:24:08Z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