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Счет-фактура" sheetId="1" r:id="rId1"/>
    <sheet name="Лист2" sheetId="2" state="hidden" r:id="rId2"/>
    <sheet name="Формула числа прописью" sheetId="3" state="hidden" r:id="rId3"/>
  </sheets>
  <definedNames>
    <definedName name="Z_28FE73C4_2B4E_48EA_A01D_248F57E01289_.wvu.PrintArea" localSheetId="0" hidden="1">'Счет-фактура'!$C$3:$AK$67</definedName>
    <definedName name="_xlnm.Print_Area" localSheetId="0">'Счет-фактура'!$C$3:$AK$57</definedName>
  </definedNames>
  <calcPr fullCalcOnLoad="1"/>
</workbook>
</file>

<file path=xl/sharedStrings.xml><?xml version="1.0" encoding="utf-8"?>
<sst xmlns="http://schemas.openxmlformats.org/spreadsheetml/2006/main" count="270" uniqueCount="104">
  <si>
    <t>ИТОГО</t>
  </si>
  <si>
    <t>(прописью)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</si>
  <si>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</si>
  <si>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</si>
  <si>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</si>
  <si>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</si>
  <si>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</si>
  <si>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</si>
  <si>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</si>
  <si>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</si>
  <si>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</si>
  <si>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</si>
  <si>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</si>
  <si>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</si>
  <si>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</si>
  <si>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</si>
  <si>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</si>
  <si>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</si>
  <si>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</si>
  <si>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</si>
  <si>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</si>
  <si>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</si>
  <si>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</si>
  <si>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</si>
  <si>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</si>
  <si>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</si>
  <si>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</si>
  <si>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</si>
  <si>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</si>
  <si>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</si>
  <si>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</si>
  <si>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</si>
  <si>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</si>
  <si>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</si>
  <si>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</si>
  <si>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</si>
  <si>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</si>
  <si>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</si>
  <si>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</si>
  <si>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</si>
  <si>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</si>
  <si>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</si>
  <si>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</si>
  <si>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</si>
  <si>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</si>
  <si>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</si>
  <si>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Стоимость с НДС, руб.</t>
  </si>
  <si>
    <t>Сумма НДС, руб.</t>
  </si>
  <si>
    <t>Ставка НДС, %</t>
  </si>
  <si>
    <t>Цена, руб.</t>
  </si>
  <si>
    <t>Коли- чество</t>
  </si>
  <si>
    <t>Единица измерения</t>
  </si>
  <si>
    <t>x</t>
  </si>
  <si>
    <t>коп.</t>
  </si>
  <si>
    <t>СЧЕТ-ФАКТУРА №</t>
  </si>
  <si>
    <t>от</t>
  </si>
  <si>
    <t>Банк:</t>
  </si>
  <si>
    <t>к платежному требованию №</t>
  </si>
  <si>
    <t>Склад</t>
  </si>
  <si>
    <t>Шифр опер.</t>
  </si>
  <si>
    <t>Шифр покуп.</t>
  </si>
  <si>
    <t>Грузоотправитель:</t>
  </si>
  <si>
    <t>Распоряжения об оплате или отказе от акцепта</t>
  </si>
  <si>
    <t>Ст. отправления:</t>
  </si>
  <si>
    <t>Плательщик и его адрес:</t>
  </si>
  <si>
    <t>Номер счета и банк:</t>
  </si>
  <si>
    <t>Грузополучатель:</t>
  </si>
  <si>
    <t>Ст. назначения, число мест, вес:</t>
  </si>
  <si>
    <t>Дополнение:</t>
  </si>
  <si>
    <t>Наименование</t>
  </si>
  <si>
    <t>Сумма, руб.</t>
  </si>
  <si>
    <t>Итого к оплате</t>
  </si>
  <si>
    <t>В том числе НДС</t>
  </si>
  <si>
    <t>Ответственный</t>
  </si>
  <si>
    <t>Бухгалтер</t>
  </si>
  <si>
    <t>Поставщик</t>
  </si>
  <si>
    <t>Адрес</t>
  </si>
  <si>
    <t>Р/счет</t>
  </si>
  <si>
    <t>Примерная форма</t>
  </si>
  <si>
    <t>ноль для копеек</t>
  </si>
  <si>
    <t xml:space="preserve"> копейка</t>
  </si>
  <si>
    <t xml:space="preserve"> белорусский рубль </t>
  </si>
  <si>
    <t xml:space="preserve"> российский рубль </t>
  </si>
  <si>
    <t xml:space="preserve"> цент</t>
  </si>
  <si>
    <t xml:space="preserve"> доллар </t>
  </si>
  <si>
    <t xml:space="preserve"> евроцент</t>
  </si>
  <si>
    <t xml:space="preserve"> копейки</t>
  </si>
  <si>
    <t xml:space="preserve"> белорусских рубля </t>
  </si>
  <si>
    <t xml:space="preserve"> российских рубля </t>
  </si>
  <si>
    <t xml:space="preserve"> цента</t>
  </si>
  <si>
    <t xml:space="preserve"> доллара </t>
  </si>
  <si>
    <t xml:space="preserve"> евроцента</t>
  </si>
  <si>
    <t xml:space="preserve"> копеек</t>
  </si>
  <si>
    <t xml:space="preserve"> белорусских рублей </t>
  </si>
  <si>
    <t xml:space="preserve"> российских рублей </t>
  </si>
  <si>
    <t xml:space="preserve"> центов</t>
  </si>
  <si>
    <t xml:space="preserve"> долларов </t>
  </si>
  <si>
    <t xml:space="preserve"> евроцентов</t>
  </si>
  <si>
    <t xml:space="preserve"> евро </t>
  </si>
  <si>
    <t>BYR</t>
  </si>
  <si>
    <t>руб.</t>
  </si>
  <si>
    <t>RUB</t>
  </si>
  <si>
    <t>USD</t>
  </si>
  <si>
    <t>EUR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</si>
</sst>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0.000"/>
    <numFmt numFmtId="185" formatCode="[$-FC19]d\ mmmm\ yyyy\ &quot;г.&quot;"/>
    <numFmt numFmtId="186" formatCode="[$-F800]dddd\,\ mmmm\ dd\,\ yyyy"/>
    <numFmt numFmtId="187" formatCode="_(#,##0_);_(\-#,##0_);_(&quot;-&quot;_);_(@_)"/>
    <numFmt numFmtId="188" formatCode="[$-FC19]\d\ \m\m\m\m\ \y\y\y\y\ &quot;г.&quot;"/>
    <numFmt numFmtId="189" formatCode="_(#,##0.00_);_(\-#,##0.00_);_(&quot;-&quot;_);_(@_)"/>
  </numFmts>
  <fonts count="6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8"/>
      <color indexed="8"/>
      <name val="Tahoma"/>
      <family val="2"/>
    </font>
    <font>
      <sz val="8"/>
      <color indexed="26"/>
      <name val="Tahoma"/>
      <family val="2"/>
    </font>
    <font>
      <sz val="6"/>
      <color indexed="26"/>
      <name val="Arial Cyr"/>
      <family val="0"/>
    </font>
    <font>
      <b/>
      <sz val="6"/>
      <color indexed="26"/>
      <name val="Arial Cyr"/>
      <family val="2"/>
    </font>
    <font>
      <sz val="6"/>
      <color indexed="26"/>
      <name val="Tahoma"/>
      <family val="2"/>
    </font>
    <font>
      <b/>
      <sz val="6"/>
      <color indexed="26"/>
      <name val="Tahoma"/>
      <family val="2"/>
    </font>
    <font>
      <b/>
      <sz val="12"/>
      <name val="Tahoma"/>
      <family val="2"/>
    </font>
    <font>
      <u val="single"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0"/>
      <name val="Helv"/>
      <family val="0"/>
    </font>
    <font>
      <sz val="10"/>
      <color indexed="10"/>
      <name val="Arial Cyr"/>
      <family val="0"/>
    </font>
    <font>
      <sz val="10.5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Alignment="1" applyProtection="1">
      <alignment/>
      <protection hidden="1"/>
    </xf>
    <xf numFmtId="0" fontId="7" fillId="34" borderId="0" xfId="0" applyNumberFormat="1" applyFont="1" applyFill="1" applyBorder="1" applyAlignment="1" applyProtection="1">
      <alignment/>
      <protection hidden="1"/>
    </xf>
    <xf numFmtId="4" fontId="8" fillId="34" borderId="0" xfId="0" applyNumberFormat="1" applyFont="1" applyFill="1" applyBorder="1" applyAlignment="1" applyProtection="1">
      <alignment horizontal="right"/>
      <protection hidden="1"/>
    </xf>
    <xf numFmtId="0" fontId="7" fillId="34" borderId="0" xfId="0" applyNumberFormat="1" applyFont="1" applyFill="1" applyAlignment="1" applyProtection="1">
      <alignment horizontal="left"/>
      <protection hidden="1"/>
    </xf>
    <xf numFmtId="0" fontId="9" fillId="34" borderId="0" xfId="0" applyNumberFormat="1" applyFont="1" applyFill="1" applyAlignment="1" applyProtection="1">
      <alignment/>
      <protection hidden="1"/>
    </xf>
    <xf numFmtId="0" fontId="10" fillId="34" borderId="0" xfId="0" applyNumberFormat="1" applyFont="1" applyFill="1" applyAlignment="1" applyProtection="1">
      <alignment/>
      <protection hidden="1"/>
    </xf>
    <xf numFmtId="4" fontId="8" fillId="34" borderId="0" xfId="0" applyNumberFormat="1" applyFont="1" applyFill="1" applyAlignment="1" applyProtection="1">
      <alignment horizontal="right"/>
      <protection hidden="1"/>
    </xf>
    <xf numFmtId="0" fontId="11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center"/>
      <protection hidden="1"/>
    </xf>
    <xf numFmtId="0" fontId="10" fillId="34" borderId="0" xfId="0" applyNumberFormat="1" applyFont="1" applyFill="1" applyAlignment="1" applyProtection="1">
      <alignment/>
      <protection hidden="1"/>
    </xf>
    <xf numFmtId="176" fontId="7" fillId="34" borderId="0" xfId="0" applyNumberFormat="1" applyFont="1" applyFill="1" applyBorder="1" applyAlignment="1" applyProtection="1">
      <alignment horizontal="left"/>
      <protection hidden="1"/>
    </xf>
    <xf numFmtId="0" fontId="9" fillId="34" borderId="0" xfId="0" applyNumberFormat="1" applyFont="1" applyFill="1" applyAlignment="1" applyProtection="1">
      <alignment/>
      <protection hidden="1"/>
    </xf>
    <xf numFmtId="0" fontId="7" fillId="34" borderId="0" xfId="0" applyNumberFormat="1" applyFont="1" applyFill="1" applyAlignment="1" applyProtection="1">
      <alignment horizontal="right"/>
      <protection hidden="1"/>
    </xf>
    <xf numFmtId="0" fontId="7" fillId="34" borderId="0" xfId="0" applyNumberFormat="1" applyFont="1" applyFill="1" applyAlignment="1" applyProtection="1">
      <alignment horizontal="right"/>
      <protection hidden="1"/>
    </xf>
    <xf numFmtId="0" fontId="7" fillId="34" borderId="0" xfId="0" applyNumberFormat="1" applyFont="1" applyFill="1" applyAlignment="1" applyProtection="1">
      <alignment/>
      <protection hidden="1"/>
    </xf>
    <xf numFmtId="0" fontId="10" fillId="34" borderId="0" xfId="0" applyNumberFormat="1" applyFont="1" applyFill="1" applyAlignment="1" applyProtection="1">
      <alignment horizontal="center"/>
      <protection hidden="1"/>
    </xf>
    <xf numFmtId="183" fontId="7" fillId="34" borderId="0" xfId="0" applyNumberFormat="1" applyFont="1" applyFill="1" applyAlignment="1" applyProtection="1">
      <alignment/>
      <protection hidden="1"/>
    </xf>
    <xf numFmtId="2" fontId="7" fillId="34" borderId="0" xfId="0" applyNumberFormat="1" applyFont="1" applyFill="1" applyAlignment="1" applyProtection="1">
      <alignment horizontal="right"/>
      <protection hidden="1"/>
    </xf>
    <xf numFmtId="22" fontId="7" fillId="34" borderId="0" xfId="0" applyNumberFormat="1" applyFont="1" applyFill="1" applyAlignment="1" applyProtection="1">
      <alignment/>
      <protection hidden="1"/>
    </xf>
    <xf numFmtId="0" fontId="9" fillId="34" borderId="0" xfId="0" applyNumberFormat="1" applyFont="1" applyFill="1" applyAlignment="1" applyProtection="1">
      <alignment shrinkToFit="1"/>
      <protection hidden="1"/>
    </xf>
    <xf numFmtId="0" fontId="7" fillId="34" borderId="0" xfId="0" applyNumberFormat="1" applyFont="1" applyFill="1" applyAlignment="1" applyProtection="1">
      <alignment horizontal="left"/>
      <protection hidden="1"/>
    </xf>
    <xf numFmtId="14" fontId="7" fillId="34" borderId="0" xfId="0" applyNumberFormat="1" applyFont="1" applyFill="1" applyAlignment="1" applyProtection="1">
      <alignment/>
      <protection hidden="1"/>
    </xf>
    <xf numFmtId="4" fontId="7" fillId="34" borderId="0" xfId="0" applyNumberFormat="1" applyFont="1" applyFill="1" applyAlignment="1" applyProtection="1">
      <alignment horizontal="right"/>
      <protection hidden="1"/>
    </xf>
    <xf numFmtId="22" fontId="7" fillId="34" borderId="0" xfId="0" applyNumberFormat="1" applyFont="1" applyFill="1" applyAlignment="1" applyProtection="1">
      <alignment/>
      <protection hidden="1"/>
    </xf>
    <xf numFmtId="4" fontId="7" fillId="34" borderId="0" xfId="0" applyNumberFormat="1" applyFont="1" applyFill="1" applyAlignment="1" applyProtection="1">
      <alignment horizontal="left"/>
      <protection hidden="1"/>
    </xf>
    <xf numFmtId="0" fontId="12" fillId="34" borderId="0" xfId="0" applyNumberFormat="1" applyFont="1" applyFill="1" applyAlignment="1" applyProtection="1">
      <alignment/>
      <protection hidden="1"/>
    </xf>
    <xf numFmtId="0" fontId="12" fillId="34" borderId="0" xfId="0" applyNumberFormat="1" applyFont="1" applyFill="1" applyAlignment="1" applyProtection="1">
      <alignment shrinkToFit="1"/>
      <protection hidden="1"/>
    </xf>
    <xf numFmtId="3" fontId="7" fillId="34" borderId="0" xfId="0" applyNumberFormat="1" applyFont="1" applyFill="1" applyAlignment="1" applyProtection="1">
      <alignment/>
      <protection hidden="1"/>
    </xf>
    <xf numFmtId="1" fontId="7" fillId="34" borderId="0" xfId="0" applyNumberFormat="1" applyFont="1" applyFill="1" applyAlignment="1" applyProtection="1">
      <alignment horizontal="right"/>
      <protection hidden="1"/>
    </xf>
    <xf numFmtId="0" fontId="7" fillId="34" borderId="0" xfId="0" applyNumberFormat="1" applyFont="1" applyFill="1" applyBorder="1" applyAlignment="1" applyProtection="1">
      <alignment/>
      <protection hidden="1"/>
    </xf>
    <xf numFmtId="0" fontId="15" fillId="32" borderId="0" xfId="0" applyFont="1" applyFill="1" applyAlignment="1" applyProtection="1">
      <alignment vertical="center"/>
      <protection hidden="1"/>
    </xf>
    <xf numFmtId="3" fontId="16" fillId="35" borderId="0" xfId="0" applyNumberFormat="1" applyFont="1" applyFill="1" applyAlignment="1" applyProtection="1">
      <alignment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49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49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/>
      <protection hidden="1"/>
    </xf>
    <xf numFmtId="0" fontId="1" fillId="32" borderId="0" xfId="0" applyFont="1" applyFill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/>
    </xf>
    <xf numFmtId="3" fontId="16" fillId="35" borderId="0" xfId="0" applyNumberFormat="1" applyFont="1" applyFill="1" applyAlignment="1" applyProtection="1">
      <alignment/>
      <protection/>
    </xf>
    <xf numFmtId="0" fontId="15" fillId="32" borderId="0" xfId="0" applyFont="1" applyFill="1" applyAlignment="1" applyProtection="1">
      <alignment horizontal="left" vertical="center"/>
      <protection/>
    </xf>
    <xf numFmtId="0" fontId="19" fillId="35" borderId="0" xfId="0" applyNumberFormat="1" applyFont="1" applyFill="1" applyAlignment="1" applyProtection="1">
      <alignment/>
      <protection/>
    </xf>
    <xf numFmtId="0" fontId="16" fillId="35" borderId="0" xfId="0" applyNumberFormat="1" applyFont="1" applyFill="1" applyAlignment="1" applyProtection="1">
      <alignment/>
      <protection/>
    </xf>
    <xf numFmtId="3" fontId="15" fillId="32" borderId="0" xfId="0" applyNumberFormat="1" applyFont="1" applyFill="1" applyAlignment="1" applyProtection="1">
      <alignment vertical="center"/>
      <protection hidden="1"/>
    </xf>
    <xf numFmtId="3" fontId="16" fillId="35" borderId="0" xfId="0" applyNumberFormat="1" applyFont="1" applyFill="1" applyAlignment="1" applyProtection="1">
      <alignment/>
      <protection hidden="1"/>
    </xf>
    <xf numFmtId="3" fontId="16" fillId="35" borderId="0" xfId="0" applyNumberFormat="1" applyFont="1" applyFill="1" applyBorder="1" applyAlignment="1" applyProtection="1">
      <alignment/>
      <protection hidden="1"/>
    </xf>
    <xf numFmtId="3" fontId="17" fillId="35" borderId="0" xfId="0" applyNumberFormat="1" applyFont="1" applyFill="1" applyBorder="1" applyAlignment="1" applyProtection="1">
      <alignment horizontal="right"/>
      <protection hidden="1"/>
    </xf>
    <xf numFmtId="3" fontId="17" fillId="35" borderId="0" xfId="0" applyNumberFormat="1" applyFont="1" applyFill="1" applyAlignment="1" applyProtection="1">
      <alignment/>
      <protection hidden="1"/>
    </xf>
    <xf numFmtId="3" fontId="18" fillId="35" borderId="0" xfId="0" applyNumberFormat="1" applyFont="1" applyFill="1" applyAlignment="1" applyProtection="1">
      <alignment/>
      <protection hidden="1"/>
    </xf>
    <xf numFmtId="3" fontId="19" fillId="35" borderId="0" xfId="0" applyNumberFormat="1" applyFont="1" applyFill="1" applyAlignment="1" applyProtection="1">
      <alignment/>
      <protection hidden="1"/>
    </xf>
    <xf numFmtId="3" fontId="16" fillId="35" borderId="0" xfId="0" applyNumberFormat="1" applyFont="1" applyFill="1" applyAlignment="1" applyProtection="1">
      <alignment horizontal="right"/>
      <protection hidden="1"/>
    </xf>
    <xf numFmtId="3" fontId="17" fillId="35" borderId="0" xfId="0" applyNumberFormat="1" applyFont="1" applyFill="1" applyAlignment="1" applyProtection="1">
      <alignment horizontal="center"/>
      <protection hidden="1"/>
    </xf>
    <xf numFmtId="3" fontId="16" fillId="35" borderId="0" xfId="0" applyNumberFormat="1" applyFont="1" applyFill="1" applyAlignment="1" applyProtection="1">
      <alignment horizontal="right"/>
      <protection hidden="1"/>
    </xf>
    <xf numFmtId="3" fontId="16" fillId="35" borderId="0" xfId="0" applyNumberFormat="1" applyFont="1" applyFill="1" applyAlignment="1" applyProtection="1">
      <alignment shrinkToFit="1"/>
      <protection hidden="1"/>
    </xf>
    <xf numFmtId="3" fontId="16" fillId="35" borderId="0" xfId="0" applyNumberFormat="1" applyFont="1" applyFill="1" applyAlignment="1" applyProtection="1">
      <alignment horizontal="left"/>
      <protection hidden="1"/>
    </xf>
    <xf numFmtId="3" fontId="16" fillId="35" borderId="0" xfId="0" applyNumberFormat="1" applyFont="1" applyFill="1" applyBorder="1" applyAlignment="1" applyProtection="1">
      <alignment/>
      <protection hidden="1"/>
    </xf>
    <xf numFmtId="3" fontId="16" fillId="35" borderId="0" xfId="0" applyNumberFormat="1" applyFont="1" applyFill="1" applyAlignment="1" applyProtection="1">
      <alignment/>
      <protection/>
    </xf>
    <xf numFmtId="3" fontId="16" fillId="35" borderId="0" xfId="0" applyNumberFormat="1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 applyProtection="1">
      <alignment horizontal="right"/>
      <protection/>
    </xf>
    <xf numFmtId="3" fontId="17" fillId="35" borderId="0" xfId="0" applyNumberFormat="1" applyFont="1" applyFill="1" applyAlignment="1" applyProtection="1">
      <alignment/>
      <protection/>
    </xf>
    <xf numFmtId="3" fontId="15" fillId="32" borderId="0" xfId="0" applyNumberFormat="1" applyFont="1" applyFill="1" applyAlignment="1" applyProtection="1">
      <alignment horizontal="left" vertical="center"/>
      <protection/>
    </xf>
    <xf numFmtId="3" fontId="18" fillId="35" borderId="0" xfId="0" applyNumberFormat="1" applyFont="1" applyFill="1" applyAlignment="1" applyProtection="1">
      <alignment/>
      <protection/>
    </xf>
    <xf numFmtId="3" fontId="19" fillId="35" borderId="0" xfId="0" applyNumberFormat="1" applyFont="1" applyFill="1" applyAlignment="1" applyProtection="1">
      <alignment/>
      <protection/>
    </xf>
    <xf numFmtId="3" fontId="19" fillId="35" borderId="0" xfId="0" applyNumberFormat="1" applyFont="1" applyFill="1" applyAlignment="1" applyProtection="1">
      <alignment horizontal="right"/>
      <protection/>
    </xf>
    <xf numFmtId="3" fontId="16" fillId="35" borderId="0" xfId="0" applyNumberFormat="1" applyFont="1" applyFill="1" applyAlignment="1" applyProtection="1">
      <alignment horizontal="right"/>
      <protection/>
    </xf>
    <xf numFmtId="3" fontId="17" fillId="35" borderId="0" xfId="0" applyNumberFormat="1" applyFont="1" applyFill="1" applyAlignment="1" applyProtection="1">
      <alignment horizontal="center"/>
      <protection/>
    </xf>
    <xf numFmtId="3" fontId="15" fillId="32" borderId="0" xfId="0" applyNumberFormat="1" applyFont="1" applyFill="1" applyAlignment="1" applyProtection="1">
      <alignment vertical="center"/>
      <protection/>
    </xf>
    <xf numFmtId="3" fontId="16" fillId="35" borderId="0" xfId="0" applyNumberFormat="1" applyFont="1" applyFill="1" applyAlignment="1" applyProtection="1">
      <alignment horizontal="right"/>
      <protection/>
    </xf>
    <xf numFmtId="3" fontId="16" fillId="35" borderId="0" xfId="0" applyNumberFormat="1" applyFont="1" applyFill="1" applyAlignment="1" applyProtection="1">
      <alignment shrinkToFit="1"/>
      <protection/>
    </xf>
    <xf numFmtId="3" fontId="16" fillId="35" borderId="0" xfId="0" applyNumberFormat="1" applyFont="1" applyFill="1" applyAlignment="1" applyProtection="1">
      <alignment horizontal="left"/>
      <protection/>
    </xf>
    <xf numFmtId="3" fontId="16" fillId="35" borderId="0" xfId="0" applyNumberFormat="1" applyFont="1" applyFill="1" applyBorder="1" applyAlignment="1" applyProtection="1">
      <alignment/>
      <protection/>
    </xf>
    <xf numFmtId="3" fontId="15" fillId="32" borderId="0" xfId="0" applyNumberFormat="1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18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20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14" fontId="1" fillId="32" borderId="0" xfId="0" applyNumberFormat="1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center"/>
      <protection hidden="1" locked="0"/>
    </xf>
    <xf numFmtId="0" fontId="14" fillId="34" borderId="0" xfId="0" applyFont="1" applyFill="1" applyBorder="1" applyAlignment="1" applyProtection="1">
      <alignment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0" fontId="26" fillId="34" borderId="0" xfId="0" applyFont="1" applyFill="1" applyBorder="1" applyAlignment="1" applyProtection="1">
      <alignment/>
      <protection/>
    </xf>
    <xf numFmtId="2" fontId="26" fillId="34" borderId="0" xfId="0" applyNumberFormat="1" applyFont="1" applyFill="1" applyBorder="1" applyAlignment="1" applyProtection="1">
      <alignment/>
      <protection/>
    </xf>
    <xf numFmtId="4" fontId="26" fillId="34" borderId="0" xfId="0" applyNumberFormat="1" applyFont="1" applyFill="1" applyBorder="1" applyAlignment="1" applyProtection="1">
      <alignment/>
      <protection/>
    </xf>
    <xf numFmtId="3" fontId="26" fillId="34" borderId="0" xfId="0" applyNumberFormat="1" applyFont="1" applyFill="1" applyBorder="1" applyAlignment="1" applyProtection="1">
      <alignment horizontal="right"/>
      <protection/>
    </xf>
    <xf numFmtId="3" fontId="26" fillId="34" borderId="0" xfId="0" applyNumberFormat="1" applyFont="1" applyFill="1" applyBorder="1" applyAlignment="1" applyProtection="1">
      <alignment/>
      <protection/>
    </xf>
    <xf numFmtId="1" fontId="26" fillId="34" borderId="0" xfId="0" applyNumberFormat="1" applyFont="1" applyFill="1" applyBorder="1" applyAlignment="1" applyProtection="1">
      <alignment horizontal="right"/>
      <protection/>
    </xf>
    <xf numFmtId="0" fontId="26" fillId="34" borderId="0" xfId="0" applyFont="1" applyFill="1" applyBorder="1" applyAlignment="1" applyProtection="1">
      <alignment horizontal="right"/>
      <protection/>
    </xf>
    <xf numFmtId="0" fontId="27" fillId="34" borderId="0" xfId="53" applyFont="1" applyFill="1" applyBorder="1" applyAlignment="1" applyProtection="1">
      <alignment horizontal="right" vertical="top"/>
      <protection/>
    </xf>
    <xf numFmtId="0" fontId="27" fillId="34" borderId="0" xfId="53" applyFont="1" applyFill="1" applyBorder="1" applyAlignment="1" applyProtection="1">
      <alignment vertical="top"/>
      <protection/>
    </xf>
    <xf numFmtId="0" fontId="27" fillId="34" borderId="0" xfId="53" applyFont="1" applyFill="1" applyBorder="1" applyAlignment="1" applyProtection="1">
      <alignment horizontal="right" vertical="center"/>
      <protection/>
    </xf>
    <xf numFmtId="0" fontId="27" fillId="34" borderId="0" xfId="53" applyFont="1" applyFill="1" applyBorder="1" applyAlignment="1" applyProtection="1">
      <alignment vertical="center"/>
      <protection/>
    </xf>
    <xf numFmtId="0" fontId="28" fillId="32" borderId="0" xfId="0" applyFont="1" applyFill="1" applyAlignment="1" applyProtection="1">
      <alignment vertical="center"/>
      <protection hidden="1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vertical="top" wrapText="1"/>
      <protection locked="0"/>
    </xf>
    <xf numFmtId="0" fontId="28" fillId="32" borderId="0" xfId="0" applyFont="1" applyFill="1" applyAlignment="1" applyProtection="1">
      <alignment vertical="center"/>
      <protection/>
    </xf>
    <xf numFmtId="189" fontId="5" fillId="36" borderId="19" xfId="0" applyNumberFormat="1" applyFont="1" applyFill="1" applyBorder="1" applyAlignment="1" applyProtection="1">
      <alignment horizontal="center" vertical="center" wrapText="1"/>
      <protection hidden="1"/>
    </xf>
    <xf numFmtId="189" fontId="5" fillId="36" borderId="20" xfId="0" applyNumberFormat="1" applyFont="1" applyFill="1" applyBorder="1" applyAlignment="1" applyProtection="1">
      <alignment horizontal="center" vertical="center" wrapText="1"/>
      <protection hidden="1"/>
    </xf>
    <xf numFmtId="189" fontId="23" fillId="36" borderId="21" xfId="0" applyNumberFormat="1" applyFont="1" applyFill="1" applyBorder="1" applyAlignment="1" applyProtection="1">
      <alignment horizontal="center" vertical="center"/>
      <protection hidden="1"/>
    </xf>
    <xf numFmtId="2" fontId="1" fillId="36" borderId="22" xfId="0" applyNumberFormat="1" applyFont="1" applyFill="1" applyBorder="1" applyAlignment="1" applyProtection="1">
      <alignment horizontal="left" vertical="center" indent="1"/>
      <protection hidden="1"/>
    </xf>
    <xf numFmtId="0" fontId="5" fillId="34" borderId="23" xfId="0" applyFont="1" applyFill="1" applyBorder="1" applyAlignment="1" applyProtection="1">
      <alignment horizontal="center" vertical="center"/>
      <protection hidden="1"/>
    </xf>
    <xf numFmtId="4" fontId="1" fillId="36" borderId="22" xfId="0" applyNumberFormat="1" applyFont="1" applyFill="1" applyBorder="1" applyAlignment="1" applyProtection="1">
      <alignment horizontal="left" vertical="center" indent="1"/>
      <protection hidden="1"/>
    </xf>
    <xf numFmtId="0" fontId="14" fillId="34" borderId="0" xfId="0" applyFont="1" applyFill="1" applyAlignment="1" applyProtection="1">
      <alignment horizontal="left"/>
      <protection hidden="1"/>
    </xf>
    <xf numFmtId="189" fontId="5" fillId="36" borderId="24" xfId="0" applyNumberFormat="1" applyFont="1" applyFill="1" applyBorder="1" applyAlignment="1" applyProtection="1">
      <alignment horizontal="center" vertical="center" wrapText="1"/>
      <protection hidden="1"/>
    </xf>
    <xf numFmtId="189" fontId="5" fillId="36" borderId="19" xfId="0" applyNumberFormat="1" applyFont="1" applyFill="1" applyBorder="1" applyAlignment="1" applyProtection="1">
      <alignment horizontal="center" vertical="center"/>
      <protection hidden="1"/>
    </xf>
    <xf numFmtId="189" fontId="5" fillId="36" borderId="20" xfId="0" applyNumberFormat="1" applyFont="1" applyFill="1" applyBorder="1" applyAlignment="1" applyProtection="1">
      <alignment horizontal="center" vertical="center"/>
      <protection hidden="1"/>
    </xf>
    <xf numFmtId="9" fontId="5" fillId="34" borderId="19" xfId="0" applyNumberFormat="1" applyFont="1" applyFill="1" applyBorder="1" applyAlignment="1" applyProtection="1">
      <alignment horizontal="center" vertical="center"/>
      <protection hidden="1" locked="0"/>
    </xf>
    <xf numFmtId="9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3" fontId="23" fillId="34" borderId="21" xfId="0" applyNumberFormat="1" applyFont="1" applyFill="1" applyBorder="1" applyAlignment="1" applyProtection="1">
      <alignment horizontal="center" vertical="center"/>
      <protection hidden="1"/>
    </xf>
    <xf numFmtId="9" fontId="5" fillId="34" borderId="24" xfId="0" applyNumberFormat="1" applyFont="1" applyFill="1" applyBorder="1" applyAlignment="1" applyProtection="1">
      <alignment horizontal="center" vertical="center"/>
      <protection hidden="1" locked="0"/>
    </xf>
    <xf numFmtId="189" fontId="5" fillId="36" borderId="24" xfId="0" applyNumberFormat="1" applyFont="1" applyFill="1" applyBorder="1" applyAlignment="1" applyProtection="1">
      <alignment horizontal="center" vertical="center"/>
      <protection hidden="1"/>
    </xf>
    <xf numFmtId="4" fontId="5" fillId="36" borderId="19" xfId="0" applyNumberFormat="1" applyFont="1" applyFill="1" applyBorder="1" applyAlignment="1" applyProtection="1">
      <alignment horizontal="center" vertical="center"/>
      <protection hidden="1"/>
    </xf>
    <xf numFmtId="4" fontId="23" fillId="36" borderId="21" xfId="0" applyNumberFormat="1" applyFont="1" applyFill="1" applyBorder="1" applyAlignment="1" applyProtection="1">
      <alignment horizontal="center" vertical="center"/>
      <protection hidden="1"/>
    </xf>
    <xf numFmtId="189" fontId="5" fillId="34" borderId="19" xfId="0" applyNumberFormat="1" applyFont="1" applyFill="1" applyBorder="1" applyAlignment="1" applyProtection="1">
      <alignment horizontal="center" vertical="center"/>
      <protection hidden="1" locked="0"/>
    </xf>
    <xf numFmtId="189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4" fontId="5" fillId="36" borderId="20" xfId="0" applyNumberFormat="1" applyFont="1" applyFill="1" applyBorder="1" applyAlignment="1" applyProtection="1">
      <alignment horizontal="center" vertical="center"/>
      <protection hidden="1"/>
    </xf>
    <xf numFmtId="4" fontId="5" fillId="36" borderId="24" xfId="0" applyNumberFormat="1" applyFont="1" applyFill="1" applyBorder="1" applyAlignment="1" applyProtection="1">
      <alignment horizontal="center" vertical="center"/>
      <protection hidden="1"/>
    </xf>
    <xf numFmtId="187" fontId="5" fillId="34" borderId="19" xfId="0" applyNumberFormat="1" applyFont="1" applyFill="1" applyBorder="1" applyAlignment="1" applyProtection="1">
      <alignment horizontal="center" vertical="center"/>
      <protection hidden="1" locked="0"/>
    </xf>
    <xf numFmtId="189" fontId="5" fillId="34" borderId="24" xfId="0" applyNumberFormat="1" applyFont="1" applyFill="1" applyBorder="1" applyAlignment="1" applyProtection="1">
      <alignment horizontal="center" vertical="center"/>
      <protection hidden="1" locked="0"/>
    </xf>
    <xf numFmtId="187" fontId="5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24" xfId="0" applyFont="1" applyFill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 shrinkToFit="1"/>
      <protection hidden="1" locked="0"/>
    </xf>
    <xf numFmtId="0" fontId="4" fillId="34" borderId="26" xfId="0" applyFont="1" applyFill="1" applyBorder="1" applyAlignment="1" applyProtection="1">
      <alignment horizontal="left" vertical="center"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0" fontId="20" fillId="32" borderId="13" xfId="0" applyFont="1" applyFill="1" applyBorder="1" applyAlignment="1" applyProtection="1">
      <alignment horizontal="center" vertical="center"/>
      <protection hidden="1"/>
    </xf>
    <xf numFmtId="49" fontId="1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4" borderId="27" xfId="0" applyNumberFormat="1" applyFont="1" applyFill="1" applyBorder="1" applyAlignment="1" applyProtection="1">
      <alignment horizontal="left" vertical="center"/>
      <protection locked="0"/>
    </xf>
    <xf numFmtId="0" fontId="4" fillId="34" borderId="26" xfId="0" applyNumberFormat="1" applyFont="1" applyFill="1" applyBorder="1" applyAlignment="1" applyProtection="1">
      <alignment horizontal="left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28" xfId="0" applyFont="1" applyFill="1" applyBorder="1" applyAlignment="1" applyProtection="1">
      <alignment horizontal="left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1" fillId="38" borderId="21" xfId="0" applyFont="1" applyFill="1" applyBorder="1" applyAlignment="1" applyProtection="1">
      <alignment horizontal="center" vertical="center"/>
      <protection locked="0"/>
    </xf>
    <xf numFmtId="0" fontId="1" fillId="34" borderId="26" xfId="0" applyNumberFormat="1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7" borderId="29" xfId="0" applyFont="1" applyFill="1" applyBorder="1" applyAlignment="1" applyProtection="1">
      <alignment horizontal="center" vertical="center" wrapText="1"/>
      <protection hidden="1"/>
    </xf>
    <xf numFmtId="0" fontId="1" fillId="37" borderId="23" xfId="0" applyFont="1" applyFill="1" applyBorder="1" applyAlignment="1" applyProtection="1">
      <alignment horizontal="center" vertical="center" wrapText="1"/>
      <protection hidden="1"/>
    </xf>
    <xf numFmtId="0" fontId="1" fillId="37" borderId="30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0" fontId="1" fillId="37" borderId="32" xfId="0" applyFont="1" applyFill="1" applyBorder="1" applyAlignment="1" applyProtection="1">
      <alignment horizontal="center" vertical="center" wrapText="1"/>
      <protection hidden="1"/>
    </xf>
    <xf numFmtId="0" fontId="1" fillId="37" borderId="22" xfId="0" applyFont="1" applyFill="1" applyBorder="1" applyAlignment="1" applyProtection="1">
      <alignment horizontal="center" vertical="center" wrapText="1"/>
      <protection hidden="1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shrinkToFit="1"/>
      <protection hidden="1"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 shrinkToFit="1"/>
      <protection hidden="1" locked="0"/>
    </xf>
    <xf numFmtId="0" fontId="22" fillId="34" borderId="21" xfId="0" applyFont="1" applyFill="1" applyBorder="1" applyAlignment="1" applyProtection="1">
      <alignment horizontal="right" vertical="center"/>
      <protection hidden="1"/>
    </xf>
    <xf numFmtId="0" fontId="5" fillId="34" borderId="25" xfId="0" applyFont="1" applyFill="1" applyBorder="1" applyAlignment="1" applyProtection="1">
      <alignment horizontal="center" vertical="center"/>
      <protection hidden="1" locked="0"/>
    </xf>
    <xf numFmtId="187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186" fontId="4" fillId="34" borderId="22" xfId="0" applyNumberFormat="1" applyFont="1" applyFill="1" applyBorder="1" applyAlignment="1" applyProtection="1">
      <alignment horizontal="center" vertical="center"/>
      <protection locked="0"/>
    </xf>
    <xf numFmtId="14" fontId="8" fillId="34" borderId="0" xfId="0" applyNumberFormat="1" applyFont="1" applyFill="1" applyAlignment="1" applyProtection="1">
      <alignment horizontal="center"/>
      <protection hidden="1"/>
    </xf>
    <xf numFmtId="176" fontId="7" fillId="34" borderId="0" xfId="0" applyNumberFormat="1" applyFont="1" applyFill="1" applyBorder="1" applyAlignment="1" applyProtection="1">
      <alignment horizontal="left"/>
      <protection hidden="1"/>
    </xf>
    <xf numFmtId="0" fontId="13" fillId="34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I2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32" width="2.375" style="1" customWidth="1"/>
    <col min="33" max="33" width="3.00390625" style="1" customWidth="1"/>
    <col min="34" max="37" width="2.375" style="1" customWidth="1"/>
    <col min="38" max="42" width="2.75390625" style="1" customWidth="1"/>
    <col min="43" max="48" width="8.75390625" style="144" hidden="1" customWidth="1"/>
    <col min="49" max="112" width="2.75390625" style="1" customWidth="1"/>
    <col min="113" max="113" width="15.75390625" style="66" hidden="1" customWidth="1"/>
    <col min="114" max="114" width="11.125" style="66" hidden="1" customWidth="1"/>
    <col min="115" max="115" width="17.375" style="66" hidden="1" customWidth="1"/>
    <col min="116" max="119" width="5.75390625" style="66" hidden="1" customWidth="1"/>
    <col min="120" max="120" width="2.75390625" style="66" hidden="1" customWidth="1"/>
    <col min="121" max="131" width="2.75390625" style="41" hidden="1" customWidth="1"/>
    <col min="132" max="139" width="0" style="41" hidden="1" customWidth="1"/>
    <col min="140" max="16384" width="2.75390625" style="1" customWidth="1"/>
  </cols>
  <sheetData>
    <row r="1" spans="2:38" ht="19.5" customHeight="1" thickBot="1">
      <c r="B1" s="179" t="s">
        <v>78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2:119" ht="12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3"/>
      <c r="DI2" s="67"/>
      <c r="DJ2" s="68"/>
      <c r="DK2" s="68"/>
      <c r="DL2" s="68"/>
      <c r="DM2" s="69"/>
      <c r="DN2" s="67"/>
      <c r="DO2" s="70"/>
    </row>
    <row r="3" spans="2:48" s="95" customFormat="1" ht="12" customHeight="1">
      <c r="B3" s="96"/>
      <c r="C3" s="97"/>
      <c r="D3" s="98"/>
      <c r="E3" s="98"/>
      <c r="F3" s="98"/>
      <c r="G3" s="98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28"/>
      <c r="AF3" s="128"/>
      <c r="AG3" s="128"/>
      <c r="AH3" s="128"/>
      <c r="AI3" s="128"/>
      <c r="AJ3" s="128"/>
      <c r="AK3" s="128"/>
      <c r="AL3" s="100"/>
      <c r="AQ3" s="144"/>
      <c r="AR3" s="144"/>
      <c r="AS3" s="144"/>
      <c r="AT3" s="144"/>
      <c r="AU3" s="144"/>
      <c r="AV3" s="144"/>
    </row>
    <row r="4" spans="2:48" s="95" customFormat="1" ht="12" customHeight="1">
      <c r="B4" s="96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102"/>
      <c r="X4" s="102"/>
      <c r="Y4" s="102"/>
      <c r="Z4" s="102"/>
      <c r="AA4" s="102"/>
      <c r="AB4" s="102"/>
      <c r="AC4" s="104"/>
      <c r="AD4" s="104"/>
      <c r="AE4" s="104"/>
      <c r="AF4" s="104"/>
      <c r="AG4" s="104"/>
      <c r="AH4" s="104"/>
      <c r="AI4" s="104"/>
      <c r="AJ4" s="104"/>
      <c r="AK4" s="104"/>
      <c r="AL4" s="105"/>
      <c r="AQ4" s="144"/>
      <c r="AR4" s="144"/>
      <c r="AS4" s="144"/>
      <c r="AT4" s="144"/>
      <c r="AU4" s="144"/>
      <c r="AV4" s="144"/>
    </row>
    <row r="5" spans="2:48" s="95" customFormat="1" ht="12" customHeight="1">
      <c r="B5" s="96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  <c r="W5" s="106" t="s">
        <v>54</v>
      </c>
      <c r="X5" s="102"/>
      <c r="Y5" s="102"/>
      <c r="Z5" s="102"/>
      <c r="AA5" s="102"/>
      <c r="AB5" s="102"/>
      <c r="AC5" s="104"/>
      <c r="AD5" s="104"/>
      <c r="AE5" s="104"/>
      <c r="AF5" s="195"/>
      <c r="AG5" s="195"/>
      <c r="AH5" s="195"/>
      <c r="AI5" s="195"/>
      <c r="AJ5" s="195"/>
      <c r="AK5" s="195"/>
      <c r="AL5" s="105"/>
      <c r="AQ5" s="144"/>
      <c r="AR5" s="144"/>
      <c r="AS5" s="144"/>
      <c r="AT5" s="144"/>
      <c r="AU5" s="144"/>
      <c r="AV5" s="144"/>
    </row>
    <row r="6" spans="2:48" s="95" customFormat="1" ht="12" customHeight="1">
      <c r="B6" s="96"/>
      <c r="C6" s="101" t="s">
        <v>75</v>
      </c>
      <c r="D6" s="102"/>
      <c r="E6" s="102"/>
      <c r="F6" s="102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02"/>
      <c r="V6" s="103"/>
      <c r="W6" s="102"/>
      <c r="X6" s="102"/>
      <c r="Y6" s="102"/>
      <c r="Z6" s="102"/>
      <c r="AA6" s="102"/>
      <c r="AB6" s="102"/>
      <c r="AC6" s="104"/>
      <c r="AD6" s="104"/>
      <c r="AE6" s="104"/>
      <c r="AF6" s="104"/>
      <c r="AG6" s="104"/>
      <c r="AH6" s="104"/>
      <c r="AI6" s="104"/>
      <c r="AJ6" s="104"/>
      <c r="AK6" s="104"/>
      <c r="AL6" s="105"/>
      <c r="AQ6" s="144"/>
      <c r="AR6" s="144"/>
      <c r="AS6" s="144"/>
      <c r="AT6" s="144"/>
      <c r="AU6" s="144"/>
      <c r="AV6" s="144"/>
    </row>
    <row r="7" spans="2:48" s="95" customFormat="1" ht="12" customHeight="1">
      <c r="B7" s="96"/>
      <c r="C7" s="101" t="s">
        <v>76</v>
      </c>
      <c r="D7" s="101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02"/>
      <c r="V7" s="103"/>
      <c r="W7" s="107" t="s">
        <v>55</v>
      </c>
      <c r="X7" s="211">
        <f ca="1">TODAY()</f>
        <v>44272</v>
      </c>
      <c r="Y7" s="211"/>
      <c r="Z7" s="211"/>
      <c r="AA7" s="211"/>
      <c r="AB7" s="211"/>
      <c r="AC7" s="211"/>
      <c r="AD7" s="211"/>
      <c r="AE7" s="211"/>
      <c r="AF7" s="104"/>
      <c r="AG7" s="104"/>
      <c r="AH7" s="104"/>
      <c r="AI7" s="104"/>
      <c r="AJ7" s="104"/>
      <c r="AK7" s="104"/>
      <c r="AL7" s="105"/>
      <c r="AQ7" s="144"/>
      <c r="AR7" s="145"/>
      <c r="AS7" s="145">
        <f>IF(AS8=1,0,2)</f>
        <v>0</v>
      </c>
      <c r="AT7" s="145"/>
      <c r="AU7" s="145"/>
      <c r="AV7" s="144"/>
    </row>
    <row r="8" spans="2:48" s="95" customFormat="1" ht="12" customHeight="1">
      <c r="B8" s="96"/>
      <c r="C8" s="177"/>
      <c r="D8" s="177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02"/>
      <c r="V8" s="103"/>
      <c r="W8" s="107"/>
      <c r="X8" s="108"/>
      <c r="Y8" s="107"/>
      <c r="Z8" s="107"/>
      <c r="AA8" s="107"/>
      <c r="AB8" s="107"/>
      <c r="AC8" s="107"/>
      <c r="AD8" s="107"/>
      <c r="AE8" s="107"/>
      <c r="AF8" s="107"/>
      <c r="AG8" s="109"/>
      <c r="AH8" s="110"/>
      <c r="AI8" s="110"/>
      <c r="AJ8" s="104"/>
      <c r="AK8" s="104"/>
      <c r="AL8" s="105"/>
      <c r="AQ8" s="144"/>
      <c r="AR8" s="145"/>
      <c r="AS8" s="145">
        <v>1</v>
      </c>
      <c r="AT8" s="145"/>
      <c r="AU8" s="146" t="str">
        <f>VLOOKUP(AS8,AT9:AU12,2)</f>
        <v>руб.</v>
      </c>
      <c r="AV8" s="144"/>
    </row>
    <row r="9" spans="2:48" s="95" customFormat="1" ht="12" customHeight="1">
      <c r="B9" s="96"/>
      <c r="C9" s="101" t="s">
        <v>77</v>
      </c>
      <c r="D9" s="102"/>
      <c r="E9" s="102"/>
      <c r="F9" s="10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02"/>
      <c r="V9" s="103"/>
      <c r="W9" s="107"/>
      <c r="X9" s="108"/>
      <c r="Y9" s="111"/>
      <c r="Z9" s="111"/>
      <c r="AA9" s="107"/>
      <c r="AB9" s="111"/>
      <c r="AC9" s="111"/>
      <c r="AD9" s="111"/>
      <c r="AE9" s="111"/>
      <c r="AF9" s="111"/>
      <c r="AG9" s="109"/>
      <c r="AH9" s="110"/>
      <c r="AI9" s="110"/>
      <c r="AJ9" s="104"/>
      <c r="AK9" s="104"/>
      <c r="AL9" s="105"/>
      <c r="AQ9" s="144"/>
      <c r="AR9" s="145">
        <v>1</v>
      </c>
      <c r="AS9" s="145" t="s">
        <v>99</v>
      </c>
      <c r="AT9" s="147">
        <v>1</v>
      </c>
      <c r="AU9" s="147" t="s">
        <v>100</v>
      </c>
      <c r="AV9" s="144"/>
    </row>
    <row r="10" spans="2:48" s="95" customFormat="1" ht="12" customHeight="1">
      <c r="B10" s="96"/>
      <c r="C10" s="101" t="s">
        <v>56</v>
      </c>
      <c r="D10" s="10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02"/>
      <c r="V10" s="103"/>
      <c r="W10" s="102" t="s">
        <v>57</v>
      </c>
      <c r="X10" s="102"/>
      <c r="Y10" s="102"/>
      <c r="Z10" s="102"/>
      <c r="AA10" s="102"/>
      <c r="AB10" s="102"/>
      <c r="AC10" s="104"/>
      <c r="AD10" s="104"/>
      <c r="AE10" s="104"/>
      <c r="AF10" s="184"/>
      <c r="AG10" s="184"/>
      <c r="AH10" s="184"/>
      <c r="AI10" s="184"/>
      <c r="AJ10" s="184"/>
      <c r="AK10" s="184"/>
      <c r="AL10" s="105"/>
      <c r="AQ10" s="144"/>
      <c r="AR10" s="145">
        <v>2</v>
      </c>
      <c r="AS10" s="145" t="s">
        <v>101</v>
      </c>
      <c r="AT10" s="148">
        <v>2</v>
      </c>
      <c r="AU10" s="147" t="s">
        <v>100</v>
      </c>
      <c r="AV10" s="144"/>
    </row>
    <row r="11" spans="2:48" s="95" customFormat="1" ht="12" customHeight="1">
      <c r="B11" s="96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  <c r="V11" s="103"/>
      <c r="W11" s="102"/>
      <c r="X11" s="102"/>
      <c r="Y11" s="102"/>
      <c r="Z11" s="102"/>
      <c r="AA11" s="102"/>
      <c r="AB11" s="102"/>
      <c r="AC11" s="104"/>
      <c r="AD11" s="104"/>
      <c r="AE11" s="104"/>
      <c r="AF11" s="104"/>
      <c r="AG11" s="104"/>
      <c r="AH11" s="104"/>
      <c r="AI11" s="104"/>
      <c r="AJ11" s="104"/>
      <c r="AK11" s="104"/>
      <c r="AL11" s="105"/>
      <c r="AQ11" s="144"/>
      <c r="AR11" s="145">
        <v>3</v>
      </c>
      <c r="AS11" s="145" t="s">
        <v>102</v>
      </c>
      <c r="AT11" s="148">
        <v>3</v>
      </c>
      <c r="AU11" s="147" t="s">
        <v>102</v>
      </c>
      <c r="AV11" s="144"/>
    </row>
    <row r="12" spans="2:48" s="95" customFormat="1" ht="12" customHeight="1">
      <c r="B12" s="96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87" t="s">
        <v>58</v>
      </c>
      <c r="W12" s="187"/>
      <c r="X12" s="187"/>
      <c r="Y12" s="187"/>
      <c r="Z12" s="187"/>
      <c r="AA12" s="187" t="s">
        <v>59</v>
      </c>
      <c r="AB12" s="187"/>
      <c r="AC12" s="187"/>
      <c r="AD12" s="187"/>
      <c r="AE12" s="187"/>
      <c r="AF12" s="188" t="s">
        <v>60</v>
      </c>
      <c r="AG12" s="188"/>
      <c r="AH12" s="188"/>
      <c r="AI12" s="188"/>
      <c r="AJ12" s="188"/>
      <c r="AK12" s="188"/>
      <c r="AL12" s="105"/>
      <c r="AQ12" s="144"/>
      <c r="AR12" s="145">
        <v>4</v>
      </c>
      <c r="AS12" s="145" t="s">
        <v>103</v>
      </c>
      <c r="AT12" s="148">
        <v>4</v>
      </c>
      <c r="AU12" s="147" t="s">
        <v>103</v>
      </c>
      <c r="AV12" s="144"/>
    </row>
    <row r="13" spans="2:48" s="95" customFormat="1" ht="12" customHeight="1">
      <c r="B13" s="96"/>
      <c r="C13" s="101" t="s">
        <v>61</v>
      </c>
      <c r="D13" s="102"/>
      <c r="E13" s="102"/>
      <c r="F13" s="102"/>
      <c r="G13" s="102"/>
      <c r="H13" s="102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02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188"/>
      <c r="AH13" s="188"/>
      <c r="AI13" s="188"/>
      <c r="AJ13" s="188"/>
      <c r="AK13" s="188"/>
      <c r="AL13" s="105"/>
      <c r="AQ13" s="144"/>
      <c r="AR13" s="144"/>
      <c r="AS13" s="144"/>
      <c r="AT13" s="144"/>
      <c r="AU13" s="144"/>
      <c r="AV13" s="144"/>
    </row>
    <row r="14" spans="2:48" s="95" customFormat="1" ht="12" customHeight="1">
      <c r="B14" s="9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02"/>
      <c r="V14" s="191" t="s">
        <v>62</v>
      </c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05"/>
      <c r="AQ14" s="144"/>
      <c r="AR14" s="144"/>
      <c r="AS14" s="144"/>
      <c r="AT14" s="144"/>
      <c r="AU14" s="144"/>
      <c r="AV14" s="144"/>
    </row>
    <row r="15" spans="2:48" s="95" customFormat="1" ht="12" customHeight="1">
      <c r="B15" s="96"/>
      <c r="C15" s="101" t="s">
        <v>63</v>
      </c>
      <c r="D15" s="102"/>
      <c r="E15" s="102"/>
      <c r="F15" s="102"/>
      <c r="G15" s="10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02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05"/>
      <c r="AQ15" s="144"/>
      <c r="AR15" s="144"/>
      <c r="AS15" s="144"/>
      <c r="AT15" s="144"/>
      <c r="AU15" s="144"/>
      <c r="AV15" s="144"/>
    </row>
    <row r="16" spans="2:48" s="95" customFormat="1" ht="12" customHeight="1">
      <c r="B16" s="96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3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05"/>
      <c r="AQ16" s="144"/>
      <c r="AR16" s="144"/>
      <c r="AS16" s="144"/>
      <c r="AT16" s="144"/>
      <c r="AU16" s="144"/>
      <c r="AV16" s="144"/>
    </row>
    <row r="17" spans="2:48" s="95" customFormat="1" ht="12" customHeight="1">
      <c r="B17" s="96"/>
      <c r="C17" s="11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13"/>
      <c r="AD17" s="113"/>
      <c r="AE17" s="113"/>
      <c r="AF17" s="113"/>
      <c r="AG17" s="112"/>
      <c r="AH17" s="114"/>
      <c r="AI17" s="114"/>
      <c r="AJ17" s="114"/>
      <c r="AK17" s="104"/>
      <c r="AL17" s="105"/>
      <c r="AQ17" s="144"/>
      <c r="AR17" s="144"/>
      <c r="AS17" s="144"/>
      <c r="AT17" s="144"/>
      <c r="AU17" s="144"/>
      <c r="AV17" s="144"/>
    </row>
    <row r="18" spans="2:48" s="95" customFormat="1" ht="12" customHeight="1">
      <c r="B18" s="96"/>
      <c r="C18" s="101" t="s">
        <v>64</v>
      </c>
      <c r="D18" s="102"/>
      <c r="E18" s="102"/>
      <c r="F18" s="102"/>
      <c r="G18" s="102"/>
      <c r="H18" s="102"/>
      <c r="I18" s="10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05"/>
      <c r="AQ18" s="144"/>
      <c r="AR18" s="144"/>
      <c r="AS18" s="144"/>
      <c r="AT18" s="144"/>
      <c r="AU18" s="144"/>
      <c r="AV18" s="144"/>
    </row>
    <row r="19" spans="2:48" s="95" customFormat="1" ht="12" customHeight="1">
      <c r="B19" s="96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05"/>
      <c r="AQ19" s="144"/>
      <c r="AR19" s="144"/>
      <c r="AS19" s="144"/>
      <c r="AT19" s="144"/>
      <c r="AU19" s="144"/>
      <c r="AV19" s="144"/>
    </row>
    <row r="20" spans="2:48" s="95" customFormat="1" ht="12" customHeight="1">
      <c r="B20" s="96"/>
      <c r="C20" s="112" t="s">
        <v>65</v>
      </c>
      <c r="D20" s="102"/>
      <c r="E20" s="102"/>
      <c r="F20" s="102"/>
      <c r="G20" s="102"/>
      <c r="H20" s="10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05"/>
      <c r="AQ20" s="144"/>
      <c r="AR20" s="144"/>
      <c r="AS20" s="144"/>
      <c r="AT20" s="144"/>
      <c r="AU20" s="144"/>
      <c r="AV20" s="144"/>
    </row>
    <row r="21" spans="2:48" s="95" customFormat="1" ht="12" customHeight="1">
      <c r="B21" s="96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05"/>
      <c r="AQ21" s="144"/>
      <c r="AR21" s="144"/>
      <c r="AS21" s="144"/>
      <c r="AT21" s="144"/>
      <c r="AU21" s="144"/>
      <c r="AV21" s="144"/>
    </row>
    <row r="22" spans="2:48" s="95" customFormat="1" ht="12" customHeight="1">
      <c r="B22" s="9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12"/>
      <c r="N22" s="112"/>
      <c r="O22" s="112"/>
      <c r="P22" s="115"/>
      <c r="Q22" s="116"/>
      <c r="R22" s="116"/>
      <c r="S22" s="116"/>
      <c r="T22" s="116"/>
      <c r="U22" s="116"/>
      <c r="V22" s="116"/>
      <c r="W22" s="117"/>
      <c r="X22" s="117"/>
      <c r="Y22" s="117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  <c r="AO22" s="118"/>
      <c r="AQ22" s="144"/>
      <c r="AR22" s="144"/>
      <c r="AS22" s="144"/>
      <c r="AT22" s="144"/>
      <c r="AU22" s="144"/>
      <c r="AV22" s="144"/>
    </row>
    <row r="23" spans="2:48" s="95" customFormat="1" ht="12" customHeight="1">
      <c r="B23" s="96"/>
      <c r="C23" s="102" t="s">
        <v>66</v>
      </c>
      <c r="D23" s="102"/>
      <c r="E23" s="102"/>
      <c r="F23" s="102"/>
      <c r="G23" s="102"/>
      <c r="H23" s="102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05"/>
      <c r="AO23" s="118"/>
      <c r="AQ23" s="144"/>
      <c r="AR23" s="144"/>
      <c r="AS23" s="144"/>
      <c r="AT23" s="144"/>
      <c r="AU23" s="144"/>
      <c r="AV23" s="144"/>
    </row>
    <row r="24" spans="2:48" s="95" customFormat="1" ht="12" customHeight="1">
      <c r="B24" s="96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12"/>
      <c r="N24" s="112"/>
      <c r="O24" s="112"/>
      <c r="P24" s="115"/>
      <c r="Q24" s="116"/>
      <c r="R24" s="116"/>
      <c r="S24" s="116"/>
      <c r="T24" s="116"/>
      <c r="U24" s="116"/>
      <c r="V24" s="116"/>
      <c r="W24" s="117"/>
      <c r="X24" s="117"/>
      <c r="Y24" s="117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  <c r="AO24" s="118"/>
      <c r="AQ24" s="144"/>
      <c r="AR24" s="144"/>
      <c r="AS24" s="144"/>
      <c r="AT24" s="144"/>
      <c r="AU24" s="144"/>
      <c r="AV24" s="144"/>
    </row>
    <row r="25" spans="2:48" s="95" customFormat="1" ht="12" customHeight="1">
      <c r="B25" s="96"/>
      <c r="C25" s="102" t="s">
        <v>67</v>
      </c>
      <c r="D25" s="102"/>
      <c r="E25" s="102"/>
      <c r="F25" s="102"/>
      <c r="G25" s="102"/>
      <c r="H25" s="102"/>
      <c r="I25" s="102"/>
      <c r="J25" s="102"/>
      <c r="K25" s="102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05"/>
      <c r="AO25" s="118"/>
      <c r="AQ25" s="144"/>
      <c r="AR25" s="144"/>
      <c r="AS25" s="144"/>
      <c r="AT25" s="144"/>
      <c r="AU25" s="144"/>
      <c r="AV25" s="144"/>
    </row>
    <row r="26" spans="2:48" s="95" customFormat="1" ht="12" customHeight="1">
      <c r="B26" s="9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12"/>
      <c r="N26" s="112"/>
      <c r="O26" s="112"/>
      <c r="P26" s="115"/>
      <c r="Q26" s="116"/>
      <c r="R26" s="116"/>
      <c r="S26" s="116"/>
      <c r="T26" s="116"/>
      <c r="U26" s="116"/>
      <c r="V26" s="116"/>
      <c r="W26" s="117"/>
      <c r="X26" s="117"/>
      <c r="Y26" s="117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5"/>
      <c r="AO26" s="118"/>
      <c r="AQ26" s="144"/>
      <c r="AR26" s="144"/>
      <c r="AS26" s="144"/>
      <c r="AT26" s="144"/>
      <c r="AU26" s="144"/>
      <c r="AV26" s="144"/>
    </row>
    <row r="27" spans="2:48" s="95" customFormat="1" ht="12" customHeight="1">
      <c r="B27" s="96"/>
      <c r="C27" s="102" t="s">
        <v>68</v>
      </c>
      <c r="D27" s="102"/>
      <c r="E27" s="102"/>
      <c r="F27" s="102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05"/>
      <c r="AQ27" s="144"/>
      <c r="AR27" s="144"/>
      <c r="AS27" s="144"/>
      <c r="AT27" s="144"/>
      <c r="AU27" s="144"/>
      <c r="AV27" s="144"/>
    </row>
    <row r="28" spans="2:48" s="95" customFormat="1" ht="12" customHeight="1">
      <c r="B28" s="96"/>
      <c r="C28" s="102"/>
      <c r="D28" s="102"/>
      <c r="E28" s="102"/>
      <c r="F28" s="10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05"/>
      <c r="AQ28" s="144"/>
      <c r="AR28" s="144"/>
      <c r="AS28" s="144"/>
      <c r="AT28" s="144"/>
      <c r="AU28" s="144"/>
      <c r="AV28" s="144"/>
    </row>
    <row r="29" spans="2:48" s="95" customFormat="1" ht="12" customHeight="1">
      <c r="B29" s="9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12"/>
      <c r="N29" s="112"/>
      <c r="O29" s="112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04"/>
      <c r="AD29" s="104"/>
      <c r="AE29" s="104"/>
      <c r="AF29" s="104"/>
      <c r="AG29" s="104"/>
      <c r="AH29" s="104"/>
      <c r="AI29" s="104"/>
      <c r="AJ29" s="104"/>
      <c r="AK29" s="104"/>
      <c r="AL29" s="105"/>
      <c r="AQ29" s="144"/>
      <c r="AR29" s="144"/>
      <c r="AS29" s="144"/>
      <c r="AT29" s="144"/>
      <c r="AU29" s="144"/>
      <c r="AV29" s="144"/>
    </row>
    <row r="30" spans="2:119" ht="12" customHeight="1">
      <c r="B30" s="45"/>
      <c r="C30" s="196" t="s">
        <v>69</v>
      </c>
      <c r="D30" s="197"/>
      <c r="E30" s="197"/>
      <c r="F30" s="197"/>
      <c r="G30" s="197"/>
      <c r="H30" s="197"/>
      <c r="I30" s="197"/>
      <c r="J30" s="197"/>
      <c r="K30" s="197"/>
      <c r="L30" s="198"/>
      <c r="M30" s="180" t="s">
        <v>51</v>
      </c>
      <c r="N30" s="180"/>
      <c r="O30" s="180"/>
      <c r="P30" s="181" t="s">
        <v>50</v>
      </c>
      <c r="Q30" s="181"/>
      <c r="R30" s="181"/>
      <c r="S30" s="181" t="s">
        <v>49</v>
      </c>
      <c r="T30" s="181"/>
      <c r="U30" s="181"/>
      <c r="V30" s="181" t="s">
        <v>70</v>
      </c>
      <c r="W30" s="181"/>
      <c r="X30" s="181"/>
      <c r="Y30" s="181"/>
      <c r="Z30" s="181" t="s">
        <v>48</v>
      </c>
      <c r="AA30" s="181"/>
      <c r="AB30" s="181"/>
      <c r="AC30" s="181"/>
      <c r="AD30" s="181" t="s">
        <v>47</v>
      </c>
      <c r="AE30" s="181"/>
      <c r="AF30" s="181"/>
      <c r="AG30" s="181"/>
      <c r="AH30" s="181" t="s">
        <v>46</v>
      </c>
      <c r="AI30" s="181"/>
      <c r="AJ30" s="181"/>
      <c r="AK30" s="181"/>
      <c r="AL30" s="4"/>
      <c r="DI30" s="77"/>
      <c r="DJ30" s="75"/>
      <c r="DK30" s="42"/>
      <c r="DL30" s="42"/>
      <c r="DM30" s="76"/>
      <c r="DN30" s="42"/>
      <c r="DO30" s="75"/>
    </row>
    <row r="31" spans="2:119" ht="12" customHeight="1">
      <c r="B31" s="45"/>
      <c r="C31" s="199"/>
      <c r="D31" s="200"/>
      <c r="E31" s="200"/>
      <c r="F31" s="200"/>
      <c r="G31" s="200"/>
      <c r="H31" s="200"/>
      <c r="I31" s="200"/>
      <c r="J31" s="200"/>
      <c r="K31" s="200"/>
      <c r="L31" s="201"/>
      <c r="M31" s="180"/>
      <c r="N31" s="180"/>
      <c r="O31" s="180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4"/>
      <c r="DI31" s="77"/>
      <c r="DJ31" s="75"/>
      <c r="DK31" s="42"/>
      <c r="DL31" s="42"/>
      <c r="DM31" s="76"/>
      <c r="DN31" s="42"/>
      <c r="DO31" s="75"/>
    </row>
    <row r="32" spans="2:119" ht="12" customHeight="1">
      <c r="B32" s="45"/>
      <c r="C32" s="202"/>
      <c r="D32" s="203"/>
      <c r="E32" s="203"/>
      <c r="F32" s="203"/>
      <c r="G32" s="203"/>
      <c r="H32" s="203"/>
      <c r="I32" s="203"/>
      <c r="J32" s="203"/>
      <c r="K32" s="203"/>
      <c r="L32" s="204"/>
      <c r="M32" s="180"/>
      <c r="N32" s="180"/>
      <c r="O32" s="180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4"/>
      <c r="DI32" s="77"/>
      <c r="DJ32" s="42"/>
      <c r="DK32" s="75"/>
      <c r="DL32" s="42"/>
      <c r="DM32" s="76"/>
      <c r="DN32" s="42"/>
      <c r="DO32" s="75"/>
    </row>
    <row r="33" spans="2:119" ht="15" customHeight="1">
      <c r="B33" s="4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174"/>
      <c r="N33" s="174"/>
      <c r="O33" s="174"/>
      <c r="P33" s="173">
        <v>88</v>
      </c>
      <c r="Q33" s="173"/>
      <c r="R33" s="173"/>
      <c r="S33" s="172">
        <v>45.23</v>
      </c>
      <c r="T33" s="172"/>
      <c r="U33" s="172"/>
      <c r="V33" s="170">
        <f>ROUND(P33*S33,2)</f>
        <v>3980.24</v>
      </c>
      <c r="W33" s="170"/>
      <c r="X33" s="170"/>
      <c r="Y33" s="170"/>
      <c r="Z33" s="163">
        <v>0.2</v>
      </c>
      <c r="AA33" s="163"/>
      <c r="AB33" s="163"/>
      <c r="AC33" s="163"/>
      <c r="AD33" s="164">
        <f>ROUND(V33*Z33,2)</f>
        <v>796.05</v>
      </c>
      <c r="AE33" s="164"/>
      <c r="AF33" s="164"/>
      <c r="AG33" s="164"/>
      <c r="AH33" s="157">
        <f>ROUND(SUM(V33+AD33),2)</f>
        <v>4776.29</v>
      </c>
      <c r="AI33" s="157"/>
      <c r="AJ33" s="157"/>
      <c r="AK33" s="157"/>
      <c r="AL33" s="4"/>
      <c r="DI33" s="42"/>
      <c r="DJ33" s="42"/>
      <c r="DK33" s="75"/>
      <c r="DL33" s="42"/>
      <c r="DM33" s="76"/>
      <c r="DN33" s="42"/>
      <c r="DO33" s="42"/>
    </row>
    <row r="34" spans="2:119" ht="15" customHeight="1">
      <c r="B34" s="4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5"/>
      <c r="N34" s="175"/>
      <c r="O34" s="175"/>
      <c r="P34" s="171"/>
      <c r="Q34" s="171"/>
      <c r="R34" s="171"/>
      <c r="S34" s="167"/>
      <c r="T34" s="167"/>
      <c r="U34" s="167"/>
      <c r="V34" s="165">
        <f aca="true" t="shared" si="0" ref="V34:V46">ROUND(P34*S34,2)</f>
        <v>0</v>
      </c>
      <c r="W34" s="165"/>
      <c r="X34" s="165"/>
      <c r="Y34" s="165"/>
      <c r="Z34" s="160"/>
      <c r="AA34" s="160"/>
      <c r="AB34" s="160"/>
      <c r="AC34" s="160"/>
      <c r="AD34" s="158">
        <f aca="true" t="shared" si="1" ref="AD34:AD46">ROUND(V34*Z34,2)</f>
        <v>0</v>
      </c>
      <c r="AE34" s="158"/>
      <c r="AF34" s="158"/>
      <c r="AG34" s="158"/>
      <c r="AH34" s="150">
        <f aca="true" t="shared" si="2" ref="AH34:AH46">ROUND(SUM(V34+AD34),2)</f>
        <v>0</v>
      </c>
      <c r="AI34" s="150"/>
      <c r="AJ34" s="150"/>
      <c r="AK34" s="150"/>
      <c r="AL34" s="4"/>
      <c r="DI34" s="42"/>
      <c r="DJ34" s="42"/>
      <c r="DK34" s="42"/>
      <c r="DL34" s="42"/>
      <c r="DM34" s="42"/>
      <c r="DN34" s="42"/>
      <c r="DO34" s="42"/>
    </row>
    <row r="35" spans="2:119" ht="15" customHeight="1">
      <c r="B35" s="45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5"/>
      <c r="N35" s="175"/>
      <c r="O35" s="175"/>
      <c r="P35" s="171"/>
      <c r="Q35" s="171"/>
      <c r="R35" s="171"/>
      <c r="S35" s="167"/>
      <c r="T35" s="167"/>
      <c r="U35" s="167"/>
      <c r="V35" s="165">
        <f t="shared" si="0"/>
        <v>0</v>
      </c>
      <c r="W35" s="165"/>
      <c r="X35" s="165"/>
      <c r="Y35" s="165"/>
      <c r="Z35" s="160"/>
      <c r="AA35" s="160"/>
      <c r="AB35" s="160"/>
      <c r="AC35" s="160"/>
      <c r="AD35" s="158">
        <f t="shared" si="1"/>
        <v>0</v>
      </c>
      <c r="AE35" s="158"/>
      <c r="AF35" s="158"/>
      <c r="AG35" s="158"/>
      <c r="AH35" s="150">
        <f t="shared" si="2"/>
        <v>0</v>
      </c>
      <c r="AI35" s="150"/>
      <c r="AJ35" s="150"/>
      <c r="AK35" s="150"/>
      <c r="AL35" s="4"/>
      <c r="DI35" s="42"/>
      <c r="DJ35" s="42"/>
      <c r="DK35" s="42"/>
      <c r="DL35" s="42"/>
      <c r="DM35" s="42"/>
      <c r="DN35" s="42"/>
      <c r="DO35" s="42"/>
    </row>
    <row r="36" spans="2:119" ht="15" customHeight="1">
      <c r="B36" s="4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5"/>
      <c r="N36" s="175"/>
      <c r="O36" s="175"/>
      <c r="P36" s="171"/>
      <c r="Q36" s="171"/>
      <c r="R36" s="171"/>
      <c r="S36" s="167"/>
      <c r="T36" s="167"/>
      <c r="U36" s="167"/>
      <c r="V36" s="165">
        <f t="shared" si="0"/>
        <v>0</v>
      </c>
      <c r="W36" s="165"/>
      <c r="X36" s="165"/>
      <c r="Y36" s="165"/>
      <c r="Z36" s="160"/>
      <c r="AA36" s="160"/>
      <c r="AB36" s="160"/>
      <c r="AC36" s="160"/>
      <c r="AD36" s="158">
        <f t="shared" si="1"/>
        <v>0</v>
      </c>
      <c r="AE36" s="158"/>
      <c r="AF36" s="158"/>
      <c r="AG36" s="158"/>
      <c r="AH36" s="150">
        <f t="shared" si="2"/>
        <v>0</v>
      </c>
      <c r="AI36" s="150"/>
      <c r="AJ36" s="150"/>
      <c r="AK36" s="150"/>
      <c r="AL36" s="4"/>
      <c r="DI36" s="42"/>
      <c r="DJ36" s="42"/>
      <c r="DK36" s="42"/>
      <c r="DL36" s="42"/>
      <c r="DM36" s="42"/>
      <c r="DN36" s="42"/>
      <c r="DO36" s="42"/>
    </row>
    <row r="37" spans="2:119" ht="15" customHeight="1">
      <c r="B37" s="4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5"/>
      <c r="N37" s="175"/>
      <c r="O37" s="175"/>
      <c r="P37" s="171"/>
      <c r="Q37" s="171"/>
      <c r="R37" s="171"/>
      <c r="S37" s="167"/>
      <c r="T37" s="167"/>
      <c r="U37" s="167"/>
      <c r="V37" s="165">
        <f t="shared" si="0"/>
        <v>0</v>
      </c>
      <c r="W37" s="165"/>
      <c r="X37" s="165"/>
      <c r="Y37" s="165"/>
      <c r="Z37" s="160"/>
      <c r="AA37" s="160"/>
      <c r="AB37" s="160"/>
      <c r="AC37" s="160"/>
      <c r="AD37" s="158">
        <f t="shared" si="1"/>
        <v>0</v>
      </c>
      <c r="AE37" s="158"/>
      <c r="AF37" s="158"/>
      <c r="AG37" s="158"/>
      <c r="AH37" s="150">
        <f t="shared" si="2"/>
        <v>0</v>
      </c>
      <c r="AI37" s="150"/>
      <c r="AJ37" s="150"/>
      <c r="AK37" s="150"/>
      <c r="AL37" s="4"/>
      <c r="DI37" s="42"/>
      <c r="DJ37" s="42"/>
      <c r="DK37" s="42"/>
      <c r="DL37" s="42"/>
      <c r="DM37" s="42"/>
      <c r="DN37" s="42"/>
      <c r="DO37" s="42"/>
    </row>
    <row r="38" spans="2:119" ht="15" customHeight="1">
      <c r="B38" s="4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5"/>
      <c r="N38" s="175"/>
      <c r="O38" s="175"/>
      <c r="P38" s="171"/>
      <c r="Q38" s="171"/>
      <c r="R38" s="171"/>
      <c r="S38" s="167"/>
      <c r="T38" s="167"/>
      <c r="U38" s="167"/>
      <c r="V38" s="165">
        <f t="shared" si="0"/>
        <v>0</v>
      </c>
      <c r="W38" s="165"/>
      <c r="X38" s="165"/>
      <c r="Y38" s="165"/>
      <c r="Z38" s="160"/>
      <c r="AA38" s="160"/>
      <c r="AB38" s="160"/>
      <c r="AC38" s="160"/>
      <c r="AD38" s="158">
        <f t="shared" si="1"/>
        <v>0</v>
      </c>
      <c r="AE38" s="158"/>
      <c r="AF38" s="158"/>
      <c r="AG38" s="158"/>
      <c r="AH38" s="150">
        <f t="shared" si="2"/>
        <v>0</v>
      </c>
      <c r="AI38" s="150"/>
      <c r="AJ38" s="150"/>
      <c r="AK38" s="150"/>
      <c r="AL38" s="4"/>
      <c r="DI38" s="42"/>
      <c r="DJ38" s="42"/>
      <c r="DK38" s="42"/>
      <c r="DL38" s="42"/>
      <c r="DM38" s="42"/>
      <c r="DN38" s="42"/>
      <c r="DO38" s="42"/>
    </row>
    <row r="39" spans="2:119" ht="15" customHeight="1">
      <c r="B39" s="4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5"/>
      <c r="N39" s="175"/>
      <c r="O39" s="175"/>
      <c r="P39" s="171"/>
      <c r="Q39" s="171"/>
      <c r="R39" s="171"/>
      <c r="S39" s="167"/>
      <c r="T39" s="167"/>
      <c r="U39" s="167"/>
      <c r="V39" s="165">
        <f t="shared" si="0"/>
        <v>0</v>
      </c>
      <c r="W39" s="165"/>
      <c r="X39" s="165"/>
      <c r="Y39" s="165"/>
      <c r="Z39" s="160"/>
      <c r="AA39" s="160"/>
      <c r="AB39" s="160"/>
      <c r="AC39" s="160"/>
      <c r="AD39" s="158">
        <f t="shared" si="1"/>
        <v>0</v>
      </c>
      <c r="AE39" s="158"/>
      <c r="AF39" s="158"/>
      <c r="AG39" s="158"/>
      <c r="AH39" s="150">
        <f t="shared" si="2"/>
        <v>0</v>
      </c>
      <c r="AI39" s="150"/>
      <c r="AJ39" s="150"/>
      <c r="AK39" s="150"/>
      <c r="AL39" s="4"/>
      <c r="DI39" s="42"/>
      <c r="DJ39" s="42"/>
      <c r="DK39" s="42"/>
      <c r="DL39" s="42"/>
      <c r="DM39" s="42"/>
      <c r="DN39" s="42"/>
      <c r="DO39" s="42"/>
    </row>
    <row r="40" spans="2:119" ht="15" customHeight="1">
      <c r="B40" s="4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5"/>
      <c r="N40" s="175"/>
      <c r="O40" s="175"/>
      <c r="P40" s="171"/>
      <c r="Q40" s="171"/>
      <c r="R40" s="171"/>
      <c r="S40" s="167"/>
      <c r="T40" s="167"/>
      <c r="U40" s="167"/>
      <c r="V40" s="165">
        <f t="shared" si="0"/>
        <v>0</v>
      </c>
      <c r="W40" s="165"/>
      <c r="X40" s="165"/>
      <c r="Y40" s="165"/>
      <c r="Z40" s="160"/>
      <c r="AA40" s="160"/>
      <c r="AB40" s="160"/>
      <c r="AC40" s="160"/>
      <c r="AD40" s="158">
        <f t="shared" si="1"/>
        <v>0</v>
      </c>
      <c r="AE40" s="158"/>
      <c r="AF40" s="158"/>
      <c r="AG40" s="158"/>
      <c r="AH40" s="150">
        <f t="shared" si="2"/>
        <v>0</v>
      </c>
      <c r="AI40" s="150"/>
      <c r="AJ40" s="150"/>
      <c r="AK40" s="150"/>
      <c r="AL40" s="4"/>
      <c r="DI40" s="42"/>
      <c r="DJ40" s="42"/>
      <c r="DK40" s="42"/>
      <c r="DL40" s="42"/>
      <c r="DM40" s="42"/>
      <c r="DN40" s="42"/>
      <c r="DO40" s="42"/>
    </row>
    <row r="41" spans="2:119" ht="15" customHeight="1">
      <c r="B41" s="4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5"/>
      <c r="N41" s="175"/>
      <c r="O41" s="175"/>
      <c r="P41" s="171"/>
      <c r="Q41" s="171"/>
      <c r="R41" s="171"/>
      <c r="S41" s="167"/>
      <c r="T41" s="167"/>
      <c r="U41" s="167"/>
      <c r="V41" s="165">
        <f t="shared" si="0"/>
        <v>0</v>
      </c>
      <c r="W41" s="165"/>
      <c r="X41" s="165"/>
      <c r="Y41" s="165"/>
      <c r="Z41" s="160"/>
      <c r="AA41" s="160"/>
      <c r="AB41" s="160"/>
      <c r="AC41" s="160"/>
      <c r="AD41" s="158">
        <f t="shared" si="1"/>
        <v>0</v>
      </c>
      <c r="AE41" s="158"/>
      <c r="AF41" s="158"/>
      <c r="AG41" s="158"/>
      <c r="AH41" s="150">
        <f t="shared" si="2"/>
        <v>0</v>
      </c>
      <c r="AI41" s="150"/>
      <c r="AJ41" s="150"/>
      <c r="AK41" s="150"/>
      <c r="AL41" s="4"/>
      <c r="DI41" s="42"/>
      <c r="DJ41" s="42"/>
      <c r="DK41" s="42"/>
      <c r="DL41" s="42"/>
      <c r="DM41" s="42"/>
      <c r="DN41" s="42"/>
      <c r="DO41" s="42"/>
    </row>
    <row r="42" spans="2:119" ht="15" customHeight="1">
      <c r="B42" s="4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5"/>
      <c r="N42" s="175"/>
      <c r="O42" s="175"/>
      <c r="P42" s="171"/>
      <c r="Q42" s="171"/>
      <c r="R42" s="171"/>
      <c r="S42" s="167"/>
      <c r="T42" s="167"/>
      <c r="U42" s="167"/>
      <c r="V42" s="165">
        <f t="shared" si="0"/>
        <v>0</v>
      </c>
      <c r="W42" s="165"/>
      <c r="X42" s="165"/>
      <c r="Y42" s="165"/>
      <c r="Z42" s="160"/>
      <c r="AA42" s="160"/>
      <c r="AB42" s="160"/>
      <c r="AC42" s="160"/>
      <c r="AD42" s="158">
        <f t="shared" si="1"/>
        <v>0</v>
      </c>
      <c r="AE42" s="158"/>
      <c r="AF42" s="158"/>
      <c r="AG42" s="158"/>
      <c r="AH42" s="150">
        <f t="shared" si="2"/>
        <v>0</v>
      </c>
      <c r="AI42" s="150"/>
      <c r="AJ42" s="150"/>
      <c r="AK42" s="150"/>
      <c r="AL42" s="4"/>
      <c r="DI42" s="42"/>
      <c r="DJ42" s="42"/>
      <c r="DK42" s="42"/>
      <c r="DL42" s="42"/>
      <c r="DM42" s="42"/>
      <c r="DN42" s="42"/>
      <c r="DO42" s="42"/>
    </row>
    <row r="43" spans="2:119" ht="15" customHeight="1">
      <c r="B43" s="4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5"/>
      <c r="N43" s="175"/>
      <c r="O43" s="175"/>
      <c r="P43" s="171"/>
      <c r="Q43" s="171"/>
      <c r="R43" s="171"/>
      <c r="S43" s="167"/>
      <c r="T43" s="167"/>
      <c r="U43" s="167"/>
      <c r="V43" s="165">
        <f t="shared" si="0"/>
        <v>0</v>
      </c>
      <c r="W43" s="165"/>
      <c r="X43" s="165"/>
      <c r="Y43" s="165"/>
      <c r="Z43" s="160"/>
      <c r="AA43" s="160"/>
      <c r="AB43" s="160"/>
      <c r="AC43" s="160"/>
      <c r="AD43" s="158">
        <f t="shared" si="1"/>
        <v>0</v>
      </c>
      <c r="AE43" s="158"/>
      <c r="AF43" s="158"/>
      <c r="AG43" s="158"/>
      <c r="AH43" s="150">
        <f t="shared" si="2"/>
        <v>0</v>
      </c>
      <c r="AI43" s="150"/>
      <c r="AJ43" s="150"/>
      <c r="AK43" s="150"/>
      <c r="AL43" s="4"/>
      <c r="DI43" s="42"/>
      <c r="DJ43" s="42"/>
      <c r="DK43" s="42"/>
      <c r="DL43" s="42"/>
      <c r="DM43" s="42"/>
      <c r="DN43" s="42"/>
      <c r="DO43" s="42"/>
    </row>
    <row r="44" spans="2:119" ht="15" customHeight="1">
      <c r="B44" s="4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5"/>
      <c r="N44" s="175"/>
      <c r="O44" s="175"/>
      <c r="P44" s="171"/>
      <c r="Q44" s="171"/>
      <c r="R44" s="171"/>
      <c r="S44" s="167"/>
      <c r="T44" s="167"/>
      <c r="U44" s="167"/>
      <c r="V44" s="165">
        <f t="shared" si="0"/>
        <v>0</v>
      </c>
      <c r="W44" s="165"/>
      <c r="X44" s="165"/>
      <c r="Y44" s="165"/>
      <c r="Z44" s="160"/>
      <c r="AA44" s="160"/>
      <c r="AB44" s="160"/>
      <c r="AC44" s="160"/>
      <c r="AD44" s="158">
        <f t="shared" si="1"/>
        <v>0</v>
      </c>
      <c r="AE44" s="158"/>
      <c r="AF44" s="158"/>
      <c r="AG44" s="158"/>
      <c r="AH44" s="150">
        <f t="shared" si="2"/>
        <v>0</v>
      </c>
      <c r="AI44" s="150"/>
      <c r="AJ44" s="150"/>
      <c r="AK44" s="150"/>
      <c r="AL44" s="4"/>
      <c r="DI44" s="42"/>
      <c r="DJ44" s="42"/>
      <c r="DK44" s="42"/>
      <c r="DL44" s="42"/>
      <c r="DM44" s="42"/>
      <c r="DN44" s="42"/>
      <c r="DO44" s="42"/>
    </row>
    <row r="45" spans="2:119" ht="15" customHeight="1">
      <c r="B45" s="4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5"/>
      <c r="N45" s="175"/>
      <c r="O45" s="175"/>
      <c r="P45" s="171"/>
      <c r="Q45" s="171"/>
      <c r="R45" s="171"/>
      <c r="S45" s="167"/>
      <c r="T45" s="167"/>
      <c r="U45" s="167"/>
      <c r="V45" s="165">
        <f t="shared" si="0"/>
        <v>0</v>
      </c>
      <c r="W45" s="165"/>
      <c r="X45" s="165"/>
      <c r="Y45" s="165"/>
      <c r="Z45" s="160"/>
      <c r="AA45" s="160"/>
      <c r="AB45" s="160"/>
      <c r="AC45" s="160"/>
      <c r="AD45" s="158">
        <f t="shared" si="1"/>
        <v>0</v>
      </c>
      <c r="AE45" s="158"/>
      <c r="AF45" s="158"/>
      <c r="AG45" s="158"/>
      <c r="AH45" s="150">
        <f t="shared" si="2"/>
        <v>0</v>
      </c>
      <c r="AI45" s="150"/>
      <c r="AJ45" s="150"/>
      <c r="AK45" s="150"/>
      <c r="AL45" s="4"/>
      <c r="DI45" s="42"/>
      <c r="DJ45" s="42"/>
      <c r="DK45" s="42"/>
      <c r="DL45" s="42"/>
      <c r="DM45" s="42"/>
      <c r="DN45" s="42"/>
      <c r="DO45" s="42"/>
    </row>
    <row r="46" spans="2:119" ht="15" customHeight="1">
      <c r="B46" s="45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9"/>
      <c r="N46" s="209"/>
      <c r="O46" s="209"/>
      <c r="P46" s="210"/>
      <c r="Q46" s="210"/>
      <c r="R46" s="210"/>
      <c r="S46" s="168"/>
      <c r="T46" s="168"/>
      <c r="U46" s="168"/>
      <c r="V46" s="169">
        <f t="shared" si="0"/>
        <v>0</v>
      </c>
      <c r="W46" s="169"/>
      <c r="X46" s="169"/>
      <c r="Y46" s="169"/>
      <c r="Z46" s="161"/>
      <c r="AA46" s="161"/>
      <c r="AB46" s="161"/>
      <c r="AC46" s="161"/>
      <c r="AD46" s="159">
        <f t="shared" si="1"/>
        <v>0</v>
      </c>
      <c r="AE46" s="159"/>
      <c r="AF46" s="159"/>
      <c r="AG46" s="159"/>
      <c r="AH46" s="151">
        <f t="shared" si="2"/>
        <v>0</v>
      </c>
      <c r="AI46" s="151"/>
      <c r="AJ46" s="151"/>
      <c r="AK46" s="151"/>
      <c r="AL46" s="4"/>
      <c r="DI46" s="78"/>
      <c r="DJ46" s="42"/>
      <c r="DK46" s="42"/>
      <c r="DL46" s="42"/>
      <c r="DM46" s="42"/>
      <c r="DN46" s="42"/>
      <c r="DO46" s="42"/>
    </row>
    <row r="47" spans="2:119" ht="15" customHeight="1">
      <c r="B47" s="45"/>
      <c r="C47" s="208" t="s">
        <v>0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166">
        <f>SUM(V33:Y46)</f>
        <v>3980.24</v>
      </c>
      <c r="W47" s="166"/>
      <c r="X47" s="166"/>
      <c r="Y47" s="166"/>
      <c r="Z47" s="162" t="s">
        <v>52</v>
      </c>
      <c r="AA47" s="162"/>
      <c r="AB47" s="162"/>
      <c r="AC47" s="162"/>
      <c r="AD47" s="152">
        <f>ROUND(SUM(AD33:AG46),3)</f>
        <v>796.05</v>
      </c>
      <c r="AE47" s="152"/>
      <c r="AF47" s="152"/>
      <c r="AG47" s="152"/>
      <c r="AH47" s="152">
        <f>SUM(AH33:AK46)</f>
        <v>4776.29</v>
      </c>
      <c r="AI47" s="152"/>
      <c r="AJ47" s="152"/>
      <c r="AK47" s="152"/>
      <c r="AL47" s="4"/>
      <c r="DI47" s="42"/>
      <c r="DJ47" s="42"/>
      <c r="DK47" s="42"/>
      <c r="DL47" s="42"/>
      <c r="DM47" s="42"/>
      <c r="DN47" s="42"/>
      <c r="DO47" s="42"/>
    </row>
    <row r="48" spans="2:119" ht="12" customHeight="1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9"/>
      <c r="N48" s="49"/>
      <c r="O48" s="50"/>
      <c r="P48" s="51"/>
      <c r="Q48" s="51"/>
      <c r="R48" s="51"/>
      <c r="S48" s="51"/>
      <c r="T48" s="50"/>
      <c r="U48" s="52"/>
      <c r="V48" s="52"/>
      <c r="W48" s="47"/>
      <c r="X48" s="47"/>
      <c r="Y48" s="47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"/>
      <c r="DI48" s="42"/>
      <c r="DJ48" s="42"/>
      <c r="DK48" s="42"/>
      <c r="DL48" s="42"/>
      <c r="DM48" s="42"/>
      <c r="DN48" s="42"/>
      <c r="DO48" s="42"/>
    </row>
    <row r="49" spans="2:119" ht="12" customHeight="1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53"/>
      <c r="N49" s="53"/>
      <c r="O49" s="54"/>
      <c r="P49" s="55"/>
      <c r="Q49" s="55"/>
      <c r="R49" s="55"/>
      <c r="S49" s="55"/>
      <c r="T49" s="54"/>
      <c r="U49" s="56"/>
      <c r="V49" s="56"/>
      <c r="W49" s="47"/>
      <c r="X49" s="47"/>
      <c r="Y49" s="47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"/>
      <c r="DI49" s="67"/>
      <c r="DJ49" s="68"/>
      <c r="DK49" s="68"/>
      <c r="DL49" s="68"/>
      <c r="DM49" s="69"/>
      <c r="DN49" s="67"/>
      <c r="DO49" s="70"/>
    </row>
    <row r="50" spans="2:119" ht="12" customHeight="1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3"/>
      <c r="N50" s="53"/>
      <c r="O50" s="54"/>
      <c r="P50" s="55"/>
      <c r="Q50" s="55"/>
      <c r="R50" s="55"/>
      <c r="S50" s="55"/>
      <c r="T50" s="54"/>
      <c r="U50" s="56"/>
      <c r="V50" s="56"/>
      <c r="W50" s="47"/>
      <c r="X50" s="47"/>
      <c r="Y50" s="47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"/>
      <c r="DI50" s="71"/>
      <c r="DJ50" s="72"/>
      <c r="DK50" s="71"/>
      <c r="DL50" s="71"/>
      <c r="DM50" s="71"/>
      <c r="DN50" s="71"/>
      <c r="DO50" s="71"/>
    </row>
    <row r="51" spans="2:119" ht="12" customHeight="1">
      <c r="B51" s="45"/>
      <c r="C51" s="156" t="s">
        <v>71</v>
      </c>
      <c r="D51" s="156"/>
      <c r="E51" s="156"/>
      <c r="F51" s="156"/>
      <c r="G51" s="156"/>
      <c r="H51" s="156"/>
      <c r="I51" s="156"/>
      <c r="J51" s="155" t="str">
        <f>IF(AS8=1,Лист2!D56,IF(AS8=2,Лист2!P56,IF(AS8=3,Лист2!AC56,IF(AS8=4,Лист2!AP56,""))))</f>
        <v> Четыре тысячи семьсот семьдесят шесть белорусских рублей 29 копеек</v>
      </c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46"/>
      <c r="AL51" s="58"/>
      <c r="DI51" s="71"/>
      <c r="DJ51" s="72"/>
      <c r="DK51" s="71"/>
      <c r="DL51" s="71"/>
      <c r="DM51" s="71"/>
      <c r="DN51" s="72"/>
      <c r="DO51" s="72"/>
    </row>
    <row r="52" spans="2:119" ht="12" customHeight="1">
      <c r="B52" s="45"/>
      <c r="C52" s="59"/>
      <c r="D52" s="46"/>
      <c r="E52" s="46"/>
      <c r="F52" s="46"/>
      <c r="G52" s="46"/>
      <c r="H52" s="46"/>
      <c r="I52" s="8"/>
      <c r="J52" s="154" t="s">
        <v>1</v>
      </c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57"/>
      <c r="AL52" s="4"/>
      <c r="DI52" s="67"/>
      <c r="DJ52" s="67"/>
      <c r="DK52" s="67"/>
      <c r="DL52" s="73"/>
      <c r="DM52" s="67"/>
      <c r="DN52" s="67"/>
      <c r="DO52" s="67"/>
    </row>
    <row r="53" spans="2:119" ht="12" customHeight="1">
      <c r="B53" s="45"/>
      <c r="C53" s="156" t="s">
        <v>72</v>
      </c>
      <c r="D53" s="156"/>
      <c r="E53" s="156"/>
      <c r="F53" s="156"/>
      <c r="G53" s="156"/>
      <c r="H53" s="153" t="str">
        <f>IF(AS8=1,Лист2!D92,IF(AS8=2,Лист2!P92,IF(AS8=3,Лист2!AC92,IF(AS8=4,Лист2!AP92,""))))</f>
        <v> Семьсот девяносто шесть белорусских рублей 05 копеек</v>
      </c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48"/>
      <c r="AL53" s="4"/>
      <c r="DI53" s="42"/>
      <c r="DJ53" s="67"/>
      <c r="DK53" s="67"/>
      <c r="DL53" s="73"/>
      <c r="DM53" s="67"/>
      <c r="DN53" s="74"/>
      <c r="DO53" s="42"/>
    </row>
    <row r="54" spans="2:119" ht="12" customHeight="1">
      <c r="B54" s="45"/>
      <c r="C54" s="46"/>
      <c r="D54" s="46"/>
      <c r="E54" s="46"/>
      <c r="F54" s="46"/>
      <c r="G54" s="8"/>
      <c r="H54" s="154" t="s">
        <v>1</v>
      </c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46"/>
      <c r="AL54" s="4"/>
      <c r="DI54" s="42"/>
      <c r="DJ54" s="67"/>
      <c r="DK54" s="67"/>
      <c r="DL54" s="73"/>
      <c r="DM54" s="67"/>
      <c r="DN54" s="74"/>
      <c r="DO54" s="42"/>
    </row>
    <row r="55" spans="2:119" ht="12" customHeight="1">
      <c r="B55" s="45"/>
      <c r="C55" s="122"/>
      <c r="D55" s="46"/>
      <c r="E55" s="46"/>
      <c r="F55" s="46"/>
      <c r="G55" s="2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4"/>
      <c r="DI55" s="42"/>
      <c r="DJ55" s="42"/>
      <c r="DK55" s="42"/>
      <c r="DL55" s="75"/>
      <c r="DM55" s="76"/>
      <c r="DN55" s="74"/>
      <c r="DO55" s="42"/>
    </row>
    <row r="56" spans="2:48" s="95" customFormat="1" ht="12" customHeight="1">
      <c r="B56" s="96"/>
      <c r="C56" s="123" t="s">
        <v>73</v>
      </c>
      <c r="D56" s="124"/>
      <c r="E56" s="125"/>
      <c r="F56" s="125"/>
      <c r="G56" s="125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126"/>
      <c r="S56" s="126"/>
      <c r="T56" s="126"/>
      <c r="U56" s="126"/>
      <c r="V56" s="127" t="s">
        <v>74</v>
      </c>
      <c r="W56" s="126"/>
      <c r="X56" s="126"/>
      <c r="Y56" s="12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126"/>
      <c r="AK56" s="126"/>
      <c r="AL56" s="100"/>
      <c r="AQ56" s="144"/>
      <c r="AR56" s="144"/>
      <c r="AS56" s="144"/>
      <c r="AT56" s="144"/>
      <c r="AU56" s="144"/>
      <c r="AV56" s="144"/>
    </row>
    <row r="57" spans="2:119" ht="12" customHeight="1">
      <c r="B57" s="45"/>
      <c r="C57" s="120"/>
      <c r="D57" s="120"/>
      <c r="E57" s="120"/>
      <c r="F57" s="120"/>
      <c r="G57" s="120"/>
      <c r="H57" s="120"/>
      <c r="I57" s="120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46"/>
      <c r="AL57" s="4"/>
      <c r="DI57" s="77"/>
      <c r="DJ57" s="42"/>
      <c r="DK57" s="42"/>
      <c r="DL57" s="75"/>
      <c r="DM57" s="76"/>
      <c r="DN57" s="42"/>
      <c r="DO57" s="42"/>
    </row>
    <row r="58" spans="2:119" ht="12" customHeight="1" thickBo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"/>
      <c r="DI58" s="77"/>
      <c r="DJ58" s="75"/>
      <c r="DK58" s="42"/>
      <c r="DL58" s="42"/>
      <c r="DM58" s="76"/>
      <c r="DN58" s="42"/>
      <c r="DO58" s="42"/>
    </row>
    <row r="59" spans="113:119" ht="12" customHeight="1">
      <c r="DI59" s="77"/>
      <c r="DJ59" s="75"/>
      <c r="DK59" s="42"/>
      <c r="DL59" s="42"/>
      <c r="DM59" s="42"/>
      <c r="DN59" s="42"/>
      <c r="DO59" s="42"/>
    </row>
    <row r="60" spans="113:119" ht="12" customHeight="1">
      <c r="DI60" s="77"/>
      <c r="DJ60" s="42"/>
      <c r="DK60" s="42"/>
      <c r="DL60" s="42"/>
      <c r="DM60" s="76"/>
      <c r="DN60" s="42"/>
      <c r="DO60" s="75"/>
    </row>
    <row r="61" spans="113:119" ht="12" customHeight="1">
      <c r="DI61" s="77"/>
      <c r="DJ61" s="75"/>
      <c r="DK61" s="42"/>
      <c r="DL61" s="42"/>
      <c r="DM61" s="76"/>
      <c r="DN61" s="42"/>
      <c r="DO61" s="75"/>
    </row>
    <row r="62" spans="113:119" ht="12" customHeight="1">
      <c r="DI62" s="77"/>
      <c r="DJ62" s="42"/>
      <c r="DK62" s="75"/>
      <c r="DL62" s="42"/>
      <c r="DM62" s="76"/>
      <c r="DN62" s="42"/>
      <c r="DO62" s="75"/>
    </row>
    <row r="63" spans="113:119" ht="12" customHeight="1">
      <c r="DI63" s="75"/>
      <c r="DJ63" s="42"/>
      <c r="DK63" s="75"/>
      <c r="DL63" s="42"/>
      <c r="DM63" s="76"/>
      <c r="DN63" s="42"/>
      <c r="DO63" s="42"/>
    </row>
    <row r="64" spans="113:119" ht="12" customHeight="1">
      <c r="DI64" s="42"/>
      <c r="DJ64" s="42"/>
      <c r="DK64" s="75"/>
      <c r="DL64" s="42"/>
      <c r="DM64" s="76"/>
      <c r="DN64" s="42"/>
      <c r="DO64" s="42"/>
    </row>
    <row r="65" spans="113:119" ht="12" customHeight="1">
      <c r="DI65" s="42"/>
      <c r="DJ65" s="42"/>
      <c r="DK65" s="42"/>
      <c r="DL65" s="42"/>
      <c r="DM65" s="42"/>
      <c r="DN65" s="42"/>
      <c r="DO65" s="42"/>
    </row>
    <row r="66" spans="113:119" ht="12" customHeight="1">
      <c r="DI66" s="42"/>
      <c r="DJ66" s="42"/>
      <c r="DK66" s="42"/>
      <c r="DL66" s="42"/>
      <c r="DM66" s="42"/>
      <c r="DN66" s="42"/>
      <c r="DO66" s="42"/>
    </row>
    <row r="67" spans="113:119" ht="12" customHeight="1">
      <c r="DI67" s="42"/>
      <c r="DJ67" s="42"/>
      <c r="DK67" s="42"/>
      <c r="DL67" s="42"/>
      <c r="DM67" s="42"/>
      <c r="DN67" s="42"/>
      <c r="DO67" s="42"/>
    </row>
    <row r="68" spans="113:119" ht="12" customHeight="1">
      <c r="DI68" s="42"/>
      <c r="DJ68" s="42"/>
      <c r="DK68" s="42"/>
      <c r="DL68" s="42"/>
      <c r="DM68" s="42"/>
      <c r="DN68" s="42"/>
      <c r="DO68" s="42"/>
    </row>
    <row r="69" spans="113:119" ht="12" customHeight="1">
      <c r="DI69" s="42"/>
      <c r="DJ69" s="42"/>
      <c r="DK69" s="42"/>
      <c r="DL69" s="42"/>
      <c r="DM69" s="42"/>
      <c r="DN69" s="42"/>
      <c r="DO69" s="42"/>
    </row>
    <row r="70" spans="113:119" ht="12" customHeight="1">
      <c r="DI70" s="42"/>
      <c r="DJ70" s="42"/>
      <c r="DK70" s="42"/>
      <c r="DL70" s="42"/>
      <c r="DM70" s="42"/>
      <c r="DN70" s="42"/>
      <c r="DO70" s="42"/>
    </row>
    <row r="71" spans="113:119" ht="12" customHeight="1">
      <c r="DI71" s="42"/>
      <c r="DJ71" s="42"/>
      <c r="DK71" s="42"/>
      <c r="DL71" s="42"/>
      <c r="DM71" s="42"/>
      <c r="DN71" s="42"/>
      <c r="DO71" s="42"/>
    </row>
    <row r="72" spans="113:119" ht="12" customHeight="1">
      <c r="DI72" s="42"/>
      <c r="DJ72" s="42"/>
      <c r="DK72" s="42"/>
      <c r="DL72" s="42"/>
      <c r="DM72" s="42"/>
      <c r="DN72" s="42"/>
      <c r="DO72" s="42"/>
    </row>
    <row r="73" spans="113:119" ht="12" customHeight="1">
      <c r="DI73" s="78"/>
      <c r="DJ73" s="42"/>
      <c r="DK73" s="42"/>
      <c r="DL73" s="42"/>
      <c r="DM73" s="42"/>
      <c r="DN73" s="42"/>
      <c r="DO73" s="42"/>
    </row>
    <row r="74" spans="113:119" ht="12" customHeight="1">
      <c r="DI74" s="42"/>
      <c r="DJ74" s="42"/>
      <c r="DK74" s="42"/>
      <c r="DL74" s="42"/>
      <c r="DM74" s="42"/>
      <c r="DN74" s="42"/>
      <c r="DO74" s="42"/>
    </row>
    <row r="75" spans="113:119" ht="12" customHeight="1">
      <c r="DI75" s="42"/>
      <c r="DJ75" s="42"/>
      <c r="DK75" s="42"/>
      <c r="DL75" s="42"/>
      <c r="DM75" s="42"/>
      <c r="DN75" s="42"/>
      <c r="DO75" s="42"/>
    </row>
    <row r="88" spans="111:112" ht="12" customHeight="1">
      <c r="DG88" s="41"/>
      <c r="DH88" s="41"/>
    </row>
    <row r="89" spans="111:112" ht="12" customHeight="1">
      <c r="DG89" s="41"/>
      <c r="DH89" s="41"/>
    </row>
    <row r="90" spans="43:139" s="60" customFormat="1" ht="12" customHeight="1">
      <c r="AQ90" s="149"/>
      <c r="AR90" s="149"/>
      <c r="AS90" s="149"/>
      <c r="AT90" s="149"/>
      <c r="AU90" s="149"/>
      <c r="AV90" s="149"/>
      <c r="DG90" s="61"/>
      <c r="DH90" s="61"/>
      <c r="DI90" s="79"/>
      <c r="DJ90" s="80"/>
      <c r="DK90" s="80"/>
      <c r="DL90" s="80"/>
      <c r="DM90" s="81">
        <f>AD47</f>
        <v>796.05</v>
      </c>
      <c r="DN90" s="79"/>
      <c r="DO90" s="82"/>
      <c r="DP90" s="83"/>
      <c r="DQ90" s="63"/>
      <c r="DR90" s="63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43:139" s="60" customFormat="1" ht="12" customHeight="1">
      <c r="AQ91" s="149"/>
      <c r="AR91" s="149"/>
      <c r="AS91" s="149"/>
      <c r="AT91" s="149"/>
      <c r="AU91" s="149"/>
      <c r="AV91" s="149"/>
      <c r="DG91" s="61"/>
      <c r="DH91" s="61"/>
      <c r="DI91" s="84" t="s">
        <v>2</v>
      </c>
      <c r="DJ91" s="85" t="str">
        <f>SUBSTITUTE(DJ93,DN97,DN98,1)</f>
        <v>Семьсот девяносто шесть рублей </v>
      </c>
      <c r="DK91" s="84"/>
      <c r="DL91" s="84"/>
      <c r="DM91" s="86"/>
      <c r="DN91" s="84"/>
      <c r="DO91" s="84"/>
      <c r="DP91" s="83"/>
      <c r="DQ91" s="63"/>
      <c r="DR91" s="63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43:139" s="60" customFormat="1" ht="12" customHeight="1">
      <c r="AQ92" s="149"/>
      <c r="AR92" s="149"/>
      <c r="AS92" s="149"/>
      <c r="AT92" s="149"/>
      <c r="AU92" s="149"/>
      <c r="AV92" s="149"/>
      <c r="DG92" s="61"/>
      <c r="DH92" s="61"/>
      <c r="DI92" s="84" t="s">
        <v>4</v>
      </c>
      <c r="DJ92" s="85" t="str">
        <f>SUBSTITUTE(DJ94,DN97,DN98,1)</f>
        <v>Семьсот девяносто шесть рублей </v>
      </c>
      <c r="DK92" s="84"/>
      <c r="DL92" s="84"/>
      <c r="DM92" s="84"/>
      <c r="DN92" s="84"/>
      <c r="DO92" s="84"/>
      <c r="DP92" s="83"/>
      <c r="DQ92" s="63"/>
      <c r="DR92" s="63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43:139" s="60" customFormat="1" ht="12" customHeight="1">
      <c r="AQ93" s="149"/>
      <c r="AR93" s="149"/>
      <c r="AS93" s="149"/>
      <c r="AT93" s="149"/>
      <c r="AU93" s="149"/>
      <c r="AV93" s="149"/>
      <c r="DG93" s="61"/>
      <c r="DH93" s="61"/>
      <c r="DI93" s="84" t="s">
        <v>5</v>
      </c>
      <c r="DJ93" s="85" t="str">
        <f>CONCATENATE(DI96,DI97,DI98,DI99,DI100)</f>
        <v>семьсот девяносто шесть рублей </v>
      </c>
      <c r="DK93" s="84"/>
      <c r="DL93" s="84"/>
      <c r="DM93" s="84"/>
      <c r="DN93" s="84"/>
      <c r="DO93" s="84"/>
      <c r="DP93" s="84"/>
      <c r="DQ93" s="64"/>
      <c r="DR93" s="64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43:139" s="60" customFormat="1" ht="12" customHeight="1">
      <c r="AQ94" s="149"/>
      <c r="AR94" s="149"/>
      <c r="AS94" s="149"/>
      <c r="AT94" s="149"/>
      <c r="AU94" s="149"/>
      <c r="AV94" s="149"/>
      <c r="DG94" s="61"/>
      <c r="DH94" s="61"/>
      <c r="DI94" s="84" t="s">
        <v>6</v>
      </c>
      <c r="DJ94" s="85" t="str">
        <f>CONCATENATE(DI96,DI97,DI98,DI99,DI100,DJ96,DJ97,DK97)</f>
        <v>семьсот девяносто шесть рублей </v>
      </c>
      <c r="DK94" s="84"/>
      <c r="DL94" s="84"/>
      <c r="DM94" s="84"/>
      <c r="DN94" s="85"/>
      <c r="DO94" s="85"/>
      <c r="DP94" s="84"/>
      <c r="DQ94" s="64"/>
      <c r="DR94" s="64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</row>
    <row r="95" spans="43:139" s="60" customFormat="1" ht="12" customHeight="1">
      <c r="AQ95" s="149"/>
      <c r="AR95" s="149"/>
      <c r="AS95" s="149"/>
      <c r="AT95" s="149"/>
      <c r="AU95" s="149"/>
      <c r="AV95" s="149"/>
      <c r="DG95" s="61"/>
      <c r="DH95" s="61"/>
      <c r="DI95" s="79"/>
      <c r="DJ95" s="79"/>
      <c r="DK95" s="79"/>
      <c r="DL95" s="87"/>
      <c r="DM95" s="79"/>
      <c r="DN95" s="79"/>
      <c r="DO95" s="79"/>
      <c r="DP95" s="84"/>
      <c r="DQ95" s="64"/>
      <c r="DR95" s="64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43:139" s="60" customFormat="1" ht="12" customHeight="1">
      <c r="AQ96" s="149"/>
      <c r="AR96" s="149"/>
      <c r="AS96" s="149"/>
      <c r="AT96" s="149"/>
      <c r="AU96" s="149"/>
      <c r="AV96" s="149"/>
      <c r="DG96" s="61"/>
      <c r="DH96" s="61"/>
      <c r="DI96" s="62">
        <f>CONCATENATE(IF(DJ103=0,"",DM103),IF(DJ104=0,"",IF(DK105&lt;20,IF(DK105&lt;16,IF(DK105&lt;10,DM104,DL105),DN105),DM104)),IF(DJ105=0,"",IF(NOT(DJ104=1),DM105,"")),DN106)</f>
      </c>
      <c r="DJ96" s="79"/>
      <c r="DK96" s="79"/>
      <c r="DL96" s="87"/>
      <c r="DM96" s="79"/>
      <c r="DN96" s="88">
        <f>CODE(DJ94)</f>
        <v>241</v>
      </c>
      <c r="DO96" s="62"/>
      <c r="DP96" s="79"/>
      <c r="DQ96" s="65"/>
      <c r="DR96" s="65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</row>
    <row r="97" spans="43:139" s="60" customFormat="1" ht="12" customHeight="1">
      <c r="AQ97" s="149"/>
      <c r="AR97" s="149"/>
      <c r="AS97" s="149"/>
      <c r="AT97" s="149"/>
      <c r="AU97" s="149"/>
      <c r="AV97" s="149"/>
      <c r="DG97" s="61"/>
      <c r="DH97" s="61"/>
      <c r="DI97" s="62">
        <f>CONCATENATE(IF(DJ107=0,"",DM107),IF(DJ108=0,"",IF(DK109&lt;20,IF(DK109&lt;16,IF(DK109&lt;10,DM108,DL109),DN109),DM108)),IF(DJ109=0,"",IF(NOT(DJ108=1),DM109,"")),DN110)</f>
      </c>
      <c r="DJ97" s="79"/>
      <c r="DK97" s="79"/>
      <c r="DL97" s="87"/>
      <c r="DM97" s="79"/>
      <c r="DN97" s="88" t="str">
        <f>CHAR(DN96)</f>
        <v>с</v>
      </c>
      <c r="DO97" s="62"/>
      <c r="DP97" s="8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43:139" s="60" customFormat="1" ht="12" customHeight="1">
      <c r="AQ98" s="149"/>
      <c r="AR98" s="149"/>
      <c r="AS98" s="149"/>
      <c r="AT98" s="149"/>
      <c r="AU98" s="149"/>
      <c r="AV98" s="149"/>
      <c r="DG98" s="61"/>
      <c r="DH98" s="61"/>
      <c r="DI98" s="62">
        <f>CONCATENATE(IF(DJ111=0,"",DM111),IF(DJ112=0,"",IF(DK113&lt;20,IF(DK113&lt;16,IF(DK113&lt;10,DM112,DL113),DN113),DM112)),IF(DJ113=0,"",IF(NOT(DJ112=1),DM113,"")),DN114)</f>
      </c>
      <c r="DJ98" s="62"/>
      <c r="DK98" s="62"/>
      <c r="DL98" s="90"/>
      <c r="DM98" s="91"/>
      <c r="DN98" s="88" t="str">
        <f>PROPER(DN97)</f>
        <v>С</v>
      </c>
      <c r="DO98" s="62"/>
      <c r="DP98" s="89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</row>
    <row r="99" spans="43:139" s="60" customFormat="1" ht="12" customHeight="1">
      <c r="AQ99" s="149"/>
      <c r="AR99" s="149"/>
      <c r="AS99" s="149"/>
      <c r="AT99" s="149"/>
      <c r="AU99" s="149"/>
      <c r="AV99" s="149"/>
      <c r="DG99" s="61"/>
      <c r="DH99" s="61"/>
      <c r="DI99" s="62" t="str">
        <f>CONCATENATE(IF(DJ115=0,"",DM115),IF(DJ116=0,"",IF(DK117&lt;20,IF(DK117&lt;16,IF(DK117&lt;10,DM116,DL117),DN117),DM116)),IF(DJ117=0,"",IF(NOT(DJ116=1),DM117,"")),DN118)</f>
        <v>семьсот девяносто шесть рублей </v>
      </c>
      <c r="DJ99" s="62"/>
      <c r="DK99" s="62"/>
      <c r="DL99" s="90"/>
      <c r="DM99" s="91"/>
      <c r="DN99" s="62"/>
      <c r="DO99" s="62"/>
      <c r="DP99" s="89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43:139" s="60" customFormat="1" ht="12" customHeight="1">
      <c r="AQ100" s="149"/>
      <c r="AR100" s="149"/>
      <c r="AS100" s="149"/>
      <c r="AT100" s="149"/>
      <c r="AU100" s="149"/>
      <c r="AV100" s="149"/>
      <c r="DG100" s="61"/>
      <c r="DH100" s="61"/>
      <c r="DI100" s="92"/>
      <c r="DJ100" s="62"/>
      <c r="DK100" s="62"/>
      <c r="DL100" s="90"/>
      <c r="DM100" s="91"/>
      <c r="DN100" s="62"/>
      <c r="DO100" s="62"/>
      <c r="DP100" s="89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</row>
    <row r="101" spans="43:139" s="60" customFormat="1" ht="12" customHeight="1">
      <c r="AQ101" s="149"/>
      <c r="AR101" s="149"/>
      <c r="AS101" s="149"/>
      <c r="AT101" s="149"/>
      <c r="AU101" s="149"/>
      <c r="AV101" s="149"/>
      <c r="DG101" s="61"/>
      <c r="DH101" s="61"/>
      <c r="DI101" s="92"/>
      <c r="DJ101" s="62"/>
      <c r="DK101" s="62"/>
      <c r="DL101" s="62"/>
      <c r="DM101" s="90">
        <f>TRUNC(DM90)</f>
        <v>796</v>
      </c>
      <c r="DN101" s="62" t="s">
        <v>7</v>
      </c>
      <c r="DO101" s="62"/>
      <c r="DP101" s="89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43:139" s="60" customFormat="1" ht="12" customHeight="1">
      <c r="AQ102" s="149"/>
      <c r="AR102" s="149"/>
      <c r="AS102" s="149"/>
      <c r="AT102" s="149"/>
      <c r="AU102" s="149"/>
      <c r="AV102" s="149"/>
      <c r="DG102" s="61"/>
      <c r="DH102" s="61"/>
      <c r="DI102" s="92">
        <f>TRUNC(DI103/10)</f>
        <v>0</v>
      </c>
      <c r="DJ102" s="90"/>
      <c r="DK102" s="62"/>
      <c r="DL102" s="62"/>
      <c r="DM102" s="62"/>
      <c r="DN102" s="62"/>
      <c r="DO102" s="62"/>
      <c r="DP102" s="89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</row>
    <row r="103" spans="43:139" s="60" customFormat="1" ht="12" customHeight="1">
      <c r="AQ103" s="149"/>
      <c r="AR103" s="149"/>
      <c r="AS103" s="149"/>
      <c r="AT103" s="149"/>
      <c r="AU103" s="149"/>
      <c r="AV103" s="149"/>
      <c r="DG103" s="61"/>
      <c r="DH103" s="61"/>
      <c r="DI103" s="92">
        <f>TRUNC(DI104/10)</f>
        <v>0</v>
      </c>
      <c r="DJ103" s="90">
        <f>TRUNC(RIGHT(DI103))</f>
        <v>0</v>
      </c>
      <c r="DK103" s="62">
        <f>DJ103</f>
        <v>0</v>
      </c>
      <c r="DL103" s="62"/>
      <c r="DM103" s="62" t="str">
        <f>IF(DJ103=1,DM131,IF(DJ103=2,DO123,IF(DJ103=3,DO124,IF(DJ103=4,DO125,IF(DJ103=5,DO126,IF(DJ103=6,DO127,IF(DJ103=7,DO128,IF(DJ103=8,DO129,DO130))))))))</f>
        <v>девятьсот </v>
      </c>
      <c r="DN103" s="62"/>
      <c r="DO103" s="62"/>
      <c r="DP103" s="89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43:139" s="60" customFormat="1" ht="12" customHeight="1">
      <c r="AQ104" s="149"/>
      <c r="AR104" s="149"/>
      <c r="AS104" s="149"/>
      <c r="AT104" s="149"/>
      <c r="AU104" s="149"/>
      <c r="AV104" s="149"/>
      <c r="DG104" s="61"/>
      <c r="DH104" s="61"/>
      <c r="DI104" s="92">
        <f>TRUNC(DI105/10)</f>
        <v>0</v>
      </c>
      <c r="DJ104" s="90">
        <f>TRUNC(RIGHT(DI104))</f>
        <v>0</v>
      </c>
      <c r="DK104" s="62">
        <f>IF(DJ104=1,"",DJ104)</f>
        <v>0</v>
      </c>
      <c r="DL104" s="62"/>
      <c r="DM104" s="91">
        <f>IF(OR(DK104=0,DJ104=1),"",IF(DJ104=2,DM123,IF(DJ104=3,DM124,IF(DJ104=4,DM125,IF(DJ104=5,DM126,IF(DJ104=6,DM127,IF(DJ104=7,DM128,IF(DJ104=8,DM129,DM130))))))))</f>
      </c>
      <c r="DN104" s="62"/>
      <c r="DO104" s="62"/>
      <c r="DP104" s="89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</row>
    <row r="105" spans="43:139" s="60" customFormat="1" ht="12" customHeight="1">
      <c r="AQ105" s="149"/>
      <c r="AR105" s="149"/>
      <c r="AS105" s="149"/>
      <c r="AT105" s="149"/>
      <c r="AU105" s="149"/>
      <c r="AV105" s="149"/>
      <c r="DG105" s="61"/>
      <c r="DH105" s="61"/>
      <c r="DI105" s="92">
        <f>TRUNC(DI107/10)</f>
        <v>0</v>
      </c>
      <c r="DJ105" s="90">
        <f>TRUNC(RIGHT(DI105))</f>
        <v>0</v>
      </c>
      <c r="DK105" s="62">
        <f>IF(DJ104=1,DJ105+10,IF(DJ105=0,0,DJ105))</f>
        <v>0</v>
      </c>
      <c r="DL105" s="62">
        <f>IF(AND(DK105&gt;9,DK105&lt;16),IF(DK105=10,DL122,IF(DK105=11,DL123,IF(DK105=12,DL124,IF(DK105=13,DL125,IF(DK105=14,DL126,IF(DK105=15,DL127,)))))),"")</f>
      </c>
      <c r="DM105" s="91" t="str">
        <f>IF(DJ105=1,DI122,IF(DJ105=2,DI123,IF(DJ105=3,DI124,IF(DJ105=4,DI125,IF(DJ105=5,DI126,IF(DJ105=6,DI127,IF(DJ105=7,DI128,IF(DJ105=8,DI129,DI130))))))))</f>
        <v>девять </v>
      </c>
      <c r="DN105" s="62">
        <f>IF(AND(DK105&gt;15,DK105&lt;20),IF(DK105=16,DL128,IF(DK105=17,DL129,IF(DK105=18,DL130,IF(DK105=19,DL131,)))),"")</f>
      </c>
      <c r="DO105" s="62"/>
      <c r="DP105" s="89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43:139" s="60" customFormat="1" ht="12" customHeight="1">
      <c r="AQ106" s="149"/>
      <c r="AR106" s="149"/>
      <c r="AS106" s="149"/>
      <c r="AT106" s="149"/>
      <c r="AU106" s="149"/>
      <c r="AV106" s="149"/>
      <c r="DG106" s="61"/>
      <c r="DH106" s="61"/>
      <c r="DI106" s="92"/>
      <c r="DJ106" s="90"/>
      <c r="DK106" s="62"/>
      <c r="DL106" s="90"/>
      <c r="DM106" s="62">
        <f>DJ105+DJ104*10+DJ103*100</f>
        <v>0</v>
      </c>
      <c r="DN106" s="62">
        <f>IF(DM106=0,"",IF(DJ104=1,"миллиардов ",IF(DJ105=1,"миллиард ",IF(OR(DJ105=2,DJ105=3,DJ105=4),"миллиарда ","миллиардов "))))</f>
      </c>
      <c r="DO106" s="62"/>
      <c r="DP106" s="89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</row>
    <row r="107" spans="43:139" s="60" customFormat="1" ht="12" customHeight="1">
      <c r="AQ107" s="149"/>
      <c r="AR107" s="149"/>
      <c r="AS107" s="149"/>
      <c r="AT107" s="149"/>
      <c r="AU107" s="149"/>
      <c r="AV107" s="149"/>
      <c r="DG107" s="61"/>
      <c r="DH107" s="61"/>
      <c r="DI107" s="92">
        <f>TRUNC(DI108/10)</f>
        <v>0</v>
      </c>
      <c r="DJ107" s="90">
        <f>TRUNC(RIGHT(DI107))</f>
        <v>0</v>
      </c>
      <c r="DK107" s="62">
        <f>DJ107</f>
        <v>0</v>
      </c>
      <c r="DL107" s="62"/>
      <c r="DM107" s="62" t="str">
        <f>IF(DJ107=1,DM131,IF(DJ107=2,DO123,IF(DJ107=3,DO124,IF(DJ107=4,DO125,IF(DJ107=5,DO126,IF(DJ107=6,DO127,IF(DJ107=7,DO128,IF(DJ107=8,DO129,DO130))))))))</f>
        <v>девятьсот </v>
      </c>
      <c r="DN107" s="62"/>
      <c r="DO107" s="62"/>
      <c r="DP107" s="89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43:139" s="60" customFormat="1" ht="12" customHeight="1">
      <c r="AQ108" s="149"/>
      <c r="AR108" s="149"/>
      <c r="AS108" s="149"/>
      <c r="AT108" s="149"/>
      <c r="AU108" s="149"/>
      <c r="AV108" s="149"/>
      <c r="DG108" s="61"/>
      <c r="DH108" s="61"/>
      <c r="DI108" s="92">
        <f>TRUNC(DI109/10)</f>
        <v>0</v>
      </c>
      <c r="DJ108" s="90">
        <f>TRUNC(RIGHT(DI108))</f>
        <v>0</v>
      </c>
      <c r="DK108" s="62">
        <f>IF(DJ108=1,"",DJ108)</f>
        <v>0</v>
      </c>
      <c r="DL108" s="62"/>
      <c r="DM108" s="91">
        <f>IF(OR(DK108=0,DJ108=1),"",IF(DJ108=2,DM123,IF(DJ108=3,DM124,IF(DJ108=4,DM125,IF(DJ108=5,DM126,IF(DJ108=6,DM127,IF(DJ108=7,DM128,IF(DJ108=8,DM129,DM130))))))))</f>
      </c>
      <c r="DN108" s="62"/>
      <c r="DO108" s="79"/>
      <c r="DP108" s="89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</row>
    <row r="109" spans="43:139" s="60" customFormat="1" ht="12" customHeight="1">
      <c r="AQ109" s="149"/>
      <c r="AR109" s="149"/>
      <c r="AS109" s="149"/>
      <c r="AT109" s="149"/>
      <c r="AU109" s="149"/>
      <c r="AV109" s="149"/>
      <c r="DG109" s="61"/>
      <c r="DH109" s="61"/>
      <c r="DI109" s="92">
        <f>TRUNC(DI111/10)</f>
        <v>0</v>
      </c>
      <c r="DJ109" s="90">
        <f>TRUNC(RIGHT(DI109))</f>
        <v>0</v>
      </c>
      <c r="DK109" s="62">
        <f>IF(DJ108=1,DJ109+10,IF(DJ109=0,0,DJ109))</f>
        <v>0</v>
      </c>
      <c r="DL109" s="62">
        <f>IF(AND(DK109&gt;9,DK109&lt;16),IF(DK109=10,DL122,IF(DK109=11,DL123,IF(DK109=12,DL124,IF(DK109=13,DL125,IF(DK109=14,DL126,IF(DK109=15,DL127,)))))),"")</f>
      </c>
      <c r="DM109" s="91" t="str">
        <f>IF(DJ109=1,DI122,IF(DJ109=2,DI123,IF(DJ109=3,DI124,IF(DJ109=4,DI125,IF(DJ109=5,DI126,IF(DJ109=6,DI127,IF(DJ109=7,DI128,IF(DJ109=8,DI129,DI130))))))))</f>
        <v>девять </v>
      </c>
      <c r="DN109" s="62">
        <f>IF(AND(DK109&gt;15,DK109&lt;20),IF(DK109=16,DL128,IF(DK109=17,DL129,IF(DK109=18,DL130,IF(DK109=19,DL131,)))),"")</f>
      </c>
      <c r="DO109" s="62"/>
      <c r="DP109" s="89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43:139" s="60" customFormat="1" ht="12" customHeight="1">
      <c r="AQ110" s="149"/>
      <c r="AR110" s="149"/>
      <c r="AS110" s="149"/>
      <c r="AT110" s="149"/>
      <c r="AU110" s="149"/>
      <c r="AV110" s="149"/>
      <c r="DG110" s="61"/>
      <c r="DH110" s="61"/>
      <c r="DI110" s="92"/>
      <c r="DJ110" s="90"/>
      <c r="DK110" s="62"/>
      <c r="DL110" s="62"/>
      <c r="DM110" s="62">
        <f>DJ109+DJ108*10+DJ107*100</f>
        <v>0</v>
      </c>
      <c r="DN110" s="62">
        <f>IF(DM110=0,"",IF(DJ108=1,"миллионов ",IF(DJ109=1,"миллион ",IF(OR(DJ109=2,DJ109=3,DJ109=4),"миллиона ","миллионов "))))</f>
      </c>
      <c r="DO110" s="62"/>
      <c r="DP110" s="89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</row>
    <row r="111" spans="43:139" s="60" customFormat="1" ht="12" customHeight="1">
      <c r="AQ111" s="149"/>
      <c r="AR111" s="149"/>
      <c r="AS111" s="149"/>
      <c r="AT111" s="149"/>
      <c r="AU111" s="149"/>
      <c r="AV111" s="149"/>
      <c r="DG111" s="61"/>
      <c r="DH111" s="61"/>
      <c r="DI111" s="92">
        <f>TRUNC(DI112/10)</f>
        <v>0</v>
      </c>
      <c r="DJ111" s="90">
        <f>TRUNC(RIGHT(DI111))</f>
        <v>0</v>
      </c>
      <c r="DK111" s="62">
        <f>DJ111</f>
        <v>0</v>
      </c>
      <c r="DL111" s="62"/>
      <c r="DM111" s="62" t="str">
        <f>IF(DJ111=1,DM131,IF(DJ111=2,DO123,IF(DJ111=3,DO124,IF(DJ111=4,DO125,IF(DJ111=5,DO126,IF(DJ111=6,DO127,IF(DJ111=7,DO128,IF(DJ111=8,DO129,DO130))))))))</f>
        <v>девятьсот </v>
      </c>
      <c r="DN111" s="62"/>
      <c r="DO111" s="62"/>
      <c r="DP111" s="89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43:139" s="60" customFormat="1" ht="12" customHeight="1">
      <c r="AQ112" s="149"/>
      <c r="AR112" s="149"/>
      <c r="AS112" s="149"/>
      <c r="AT112" s="149"/>
      <c r="AU112" s="149"/>
      <c r="AV112" s="149"/>
      <c r="DG112" s="61"/>
      <c r="DH112" s="61"/>
      <c r="DI112" s="92">
        <f>TRUNC(DI113/10)</f>
        <v>0</v>
      </c>
      <c r="DJ112" s="90">
        <f>TRUNC(RIGHT(DI112))</f>
        <v>0</v>
      </c>
      <c r="DK112" s="62">
        <f>IF(DJ112=1,"",DJ112)</f>
        <v>0</v>
      </c>
      <c r="DL112" s="62"/>
      <c r="DM112" s="91">
        <f>IF(OR(DK112=0,DJ112=1),"",IF(DJ112=2,DM123,IF(DJ112=3,DM124,IF(DJ112=4,DM125,IF(DJ112=5,DM126,IF(DJ112=6,DM127,IF(DJ112=7,DM128,IF(DJ112=8,DM129,DM130))))))))</f>
      </c>
      <c r="DN112" s="62"/>
      <c r="DO112" s="62"/>
      <c r="DP112" s="89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</row>
    <row r="113" spans="43:139" s="60" customFormat="1" ht="12" customHeight="1">
      <c r="AQ113" s="149"/>
      <c r="AR113" s="149"/>
      <c r="AS113" s="149"/>
      <c r="AT113" s="149"/>
      <c r="AU113" s="149"/>
      <c r="AV113" s="149"/>
      <c r="DG113" s="61"/>
      <c r="DH113" s="61"/>
      <c r="DI113" s="92">
        <f>TRUNC(DI115/10)</f>
        <v>0</v>
      </c>
      <c r="DJ113" s="90">
        <f>TRUNC(RIGHT(DI113))</f>
        <v>0</v>
      </c>
      <c r="DK113" s="62">
        <f>IF(DJ112=1,DJ113+10,IF(DJ113=0,0,DJ113))</f>
        <v>0</v>
      </c>
      <c r="DL113" s="62">
        <f>IF(AND(DK113&gt;9,DK113&lt;16),IF(DK113=10,DL122,IF(DK113=11,DL123,IF(DK113=12,DL124,IF(DK113=13,DL125,IF(DK113=14,DL126,IF(DK113=15,DL127,)))))),"")</f>
      </c>
      <c r="DM113" s="91" t="str">
        <f>IF(DJ113=1,DJ122,IF(DJ113=2,DJ123,IF(DJ113=3,DI124,IF(DJ113=4,DI125,IF(DJ113=5,DI126,IF(DJ113=6,DI127,IF(DJ113=7,DI128,IF(DJ113=8,DI129,DI130))))))))</f>
        <v>девять </v>
      </c>
      <c r="DN113" s="62">
        <f>IF(AND(DK113&gt;15,DK113&lt;20),IF(DK113=16,DL128,IF(DK113=17,DL129,IF(DK113=18,DL130,IF(DK113=19,DL131,)))),"")</f>
      </c>
      <c r="DO113" s="62"/>
      <c r="DP113" s="89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43:139" s="60" customFormat="1" ht="12" customHeight="1">
      <c r="AQ114" s="149"/>
      <c r="AR114" s="149"/>
      <c r="AS114" s="149"/>
      <c r="AT114" s="149"/>
      <c r="AU114" s="149"/>
      <c r="AV114" s="149"/>
      <c r="DG114" s="61"/>
      <c r="DH114" s="61"/>
      <c r="DI114" s="92"/>
      <c r="DJ114" s="90"/>
      <c r="DK114" s="62"/>
      <c r="DL114" s="62"/>
      <c r="DM114" s="91">
        <f>DJ111*100+DJ112*10+DJ113</f>
        <v>0</v>
      </c>
      <c r="DN114" s="62">
        <f>IF(DM114=0,"",IF(DJ112=1,"тысяч ",IF(DJ113=1,"тысяча ",IF(OR(DJ113=2,DJ113=3,DJ113=4),"тысячи ","тысяч "))))</f>
      </c>
      <c r="DO114" s="62"/>
      <c r="DP114" s="89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</row>
    <row r="115" spans="43:139" s="60" customFormat="1" ht="12" customHeight="1">
      <c r="AQ115" s="149"/>
      <c r="AR115" s="149"/>
      <c r="AS115" s="149"/>
      <c r="AT115" s="149"/>
      <c r="AU115" s="149"/>
      <c r="AV115" s="149"/>
      <c r="DG115" s="61"/>
      <c r="DH115" s="61"/>
      <c r="DI115" s="92">
        <f>TRUNC(DI116/10)</f>
        <v>7</v>
      </c>
      <c r="DJ115" s="90">
        <f>TRUNC(RIGHT(DI115))</f>
        <v>7</v>
      </c>
      <c r="DK115" s="62">
        <f>DJ115</f>
        <v>7</v>
      </c>
      <c r="DL115" s="62"/>
      <c r="DM115" s="62" t="str">
        <f>IF(DJ115=1,DM131,IF(DJ115=2,DO123,IF(DJ115=3,DO124,IF(DJ115=4,DO125,IF(DJ115=5,DO126,IF(DJ115=6,DO127,IF(DJ115=7,DO128,IF(DJ115=8,DO129,DO130))))))))</f>
        <v>семьсот </v>
      </c>
      <c r="DN115" s="62"/>
      <c r="DO115" s="62"/>
      <c r="DP115" s="89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43:139" s="60" customFormat="1" ht="12" customHeight="1">
      <c r="AQ116" s="149"/>
      <c r="AR116" s="149"/>
      <c r="AS116" s="149"/>
      <c r="AT116" s="149"/>
      <c r="AU116" s="149"/>
      <c r="AV116" s="149"/>
      <c r="DG116" s="61"/>
      <c r="DH116" s="61"/>
      <c r="DI116" s="92">
        <f>TRUNC(DI117/10)</f>
        <v>79</v>
      </c>
      <c r="DJ116" s="62">
        <f>TRUNC(RIGHT(DI116))</f>
        <v>9</v>
      </c>
      <c r="DK116" s="62">
        <f>IF(DJ116=1,"",DJ116)</f>
        <v>9</v>
      </c>
      <c r="DL116" s="62"/>
      <c r="DM116" s="91" t="str">
        <f>IF(OR(DK116=0,DJ116=1),"",IF(DK116=2,DM123,IF(DK116=3,DM124,IF(DK116=4,DM125,IF(DK116=5,DM126,IF(DK116=6,DM127,IF(DK116=7,DM128,IF(DK116=8,DM129,DM130))))))))</f>
        <v>девяносто </v>
      </c>
      <c r="DN116" s="62"/>
      <c r="DO116" s="90"/>
      <c r="DP116" s="89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</row>
    <row r="117" spans="43:139" s="60" customFormat="1" ht="12" customHeight="1">
      <c r="AQ117" s="149"/>
      <c r="AR117" s="149"/>
      <c r="AS117" s="149"/>
      <c r="AT117" s="149"/>
      <c r="AU117" s="149"/>
      <c r="AV117" s="149"/>
      <c r="DG117" s="61"/>
      <c r="DH117" s="61"/>
      <c r="DI117" s="92">
        <f>DM101</f>
        <v>796</v>
      </c>
      <c r="DJ117" s="90">
        <f>TRUNC(RIGHT(DI117))</f>
        <v>6</v>
      </c>
      <c r="DK117" s="62">
        <f>IF(DJ116=1,DJ117+10,IF(DJ117=0,0,DJ117))</f>
        <v>6</v>
      </c>
      <c r="DL117" s="62">
        <f>IF(AND(DK117&gt;9,DK117&lt;16),IF(DK117=10,DL122,IF(DK117=11,DL123,IF(DK117=12,DL124,IF(DK117=13,DL125,IF(DK117=14,DL126,IF(DK117=15,DL127,)))))),"")</f>
      </c>
      <c r="DM117" s="91" t="str">
        <f>IF(DJ117=1,DI122,IF(DJ117=2,DI123,IF(DJ117=3,DI124,IF(DJ117=4,DI125,IF(DJ117=5,DI126,IF(DJ117=6,DI127,IF(DJ117=7,DI128,IF(DJ117=8,DI129,DI130))))))))</f>
        <v>шесть </v>
      </c>
      <c r="DN117" s="62">
        <f>IF(AND(DK117&gt;15,DK117&lt;20),IF(DK117=16,DL128,IF(DK117=17,DL129,IF(DK117=18,DL130,IF(DK117=19,DL131,)))),"")</f>
      </c>
      <c r="DO117" s="90"/>
      <c r="DP117" s="89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43:139" s="60" customFormat="1" ht="12" customHeight="1">
      <c r="AQ118" s="149"/>
      <c r="AR118" s="149"/>
      <c r="AS118" s="149"/>
      <c r="AT118" s="149"/>
      <c r="AU118" s="149"/>
      <c r="AV118" s="149"/>
      <c r="DG118" s="61"/>
      <c r="DH118" s="61"/>
      <c r="DI118" s="92"/>
      <c r="DJ118" s="62"/>
      <c r="DK118" s="90"/>
      <c r="DL118" s="62"/>
      <c r="DM118" s="91">
        <f>DJ115*100+DJ116*10+DJ117</f>
        <v>796</v>
      </c>
      <c r="DN118" s="62" t="str">
        <f>IF(DM118+DM114+DM110+DM106=0,"ноль рублей ",IF(DK117=1,"рубль ",IF(OR(DK117=2,DK117=3,DK117=4),"рубля ","рублей ")))</f>
        <v>рублей </v>
      </c>
      <c r="DO118" s="90"/>
      <c r="DP118" s="89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</row>
    <row r="119" spans="43:139" s="60" customFormat="1" ht="12" customHeight="1">
      <c r="AQ119" s="149"/>
      <c r="AR119" s="149"/>
      <c r="AS119" s="149"/>
      <c r="AT119" s="149"/>
      <c r="AU119" s="149"/>
      <c r="AV119" s="149"/>
      <c r="DG119" s="61"/>
      <c r="DH119" s="61"/>
      <c r="DI119" s="90">
        <f>ROUND(100*(DM90-DM101),0)</f>
        <v>5</v>
      </c>
      <c r="DJ119" s="62"/>
      <c r="DK119" s="90">
        <f>TRUNC(DI119/10)</f>
        <v>0</v>
      </c>
      <c r="DL119" s="62"/>
      <c r="DM119" s="91">
        <f>IF(OR(DK119=1,DK119=0),"",IF(DK119=2,DM123,IF(DK119=3,DM124,IF(DK119=4,DM125,IF(DK119=5,DM126,IF(DK119=6,DM127,IF(DK119=7,DM128,IF(DK119=8,DM129,DM130))))))))</f>
      </c>
      <c r="DN119" s="62"/>
      <c r="DO119" s="62"/>
      <c r="DP119" s="89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43:139" s="60" customFormat="1" ht="12" customHeight="1">
      <c r="AQ120" s="149"/>
      <c r="AR120" s="149"/>
      <c r="AS120" s="149"/>
      <c r="AT120" s="149"/>
      <c r="AU120" s="149"/>
      <c r="AV120" s="149"/>
      <c r="DG120" s="61"/>
      <c r="DH120" s="61"/>
      <c r="DI120" s="62"/>
      <c r="DJ120" s="62"/>
      <c r="DK120" s="90">
        <f>TRUNC(DI119-DK119*10)</f>
        <v>5</v>
      </c>
      <c r="DL120" s="62"/>
      <c r="DM120" s="91" t="str">
        <f>IF(DK120=1,DJ122,IF(DK120=2,DJ123,IF(DK120=3,DI124,IF(DK120=4,DI125,IF(DK120=5,DI126,IF(DK120=6,DI127,IF(DK120=7,DI128,IF(DK120=8,DI129,DI130))))))))</f>
        <v>пять </v>
      </c>
      <c r="DN120" s="62"/>
      <c r="DO120" s="62"/>
      <c r="DP120" s="89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</row>
    <row r="121" spans="43:139" s="60" customFormat="1" ht="12" customHeight="1">
      <c r="AQ121" s="149"/>
      <c r="AR121" s="149"/>
      <c r="AS121" s="149"/>
      <c r="AT121" s="149"/>
      <c r="AU121" s="149"/>
      <c r="AV121" s="149"/>
      <c r="DG121" s="61"/>
      <c r="DH121" s="61"/>
      <c r="DI121" s="62"/>
      <c r="DJ121" s="62"/>
      <c r="DK121" s="62"/>
      <c r="DL121" s="62"/>
      <c r="DM121" s="62"/>
      <c r="DN121" s="62" t="s">
        <v>53</v>
      </c>
      <c r="DO121" s="62"/>
      <c r="DP121" s="89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</row>
    <row r="122" spans="43:139" s="60" customFormat="1" ht="12" customHeight="1">
      <c r="AQ122" s="149"/>
      <c r="AR122" s="149"/>
      <c r="AS122" s="149"/>
      <c r="AT122" s="149"/>
      <c r="AU122" s="149"/>
      <c r="AV122" s="149"/>
      <c r="DG122" s="61"/>
      <c r="DH122" s="61"/>
      <c r="DI122" s="62" t="s">
        <v>8</v>
      </c>
      <c r="DJ122" s="62" t="s">
        <v>9</v>
      </c>
      <c r="DK122" s="62"/>
      <c r="DL122" s="62" t="s">
        <v>10</v>
      </c>
      <c r="DM122" s="62"/>
      <c r="DN122" s="62"/>
      <c r="DO122" s="62"/>
      <c r="DP122" s="89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</row>
    <row r="123" spans="43:139" s="60" customFormat="1" ht="12" customHeight="1">
      <c r="AQ123" s="149"/>
      <c r="AR123" s="149"/>
      <c r="AS123" s="149"/>
      <c r="AT123" s="149"/>
      <c r="AU123" s="149"/>
      <c r="AV123" s="149"/>
      <c r="DG123" s="61"/>
      <c r="DH123" s="61"/>
      <c r="DI123" s="62" t="s">
        <v>11</v>
      </c>
      <c r="DJ123" s="62" t="s">
        <v>12</v>
      </c>
      <c r="DK123" s="62"/>
      <c r="DL123" s="62" t="s">
        <v>13</v>
      </c>
      <c r="DM123" s="62" t="s">
        <v>14</v>
      </c>
      <c r="DN123" s="62"/>
      <c r="DO123" s="62" t="s">
        <v>15</v>
      </c>
      <c r="DP123" s="89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</row>
    <row r="124" spans="43:139" s="60" customFormat="1" ht="12" customHeight="1">
      <c r="AQ124" s="149"/>
      <c r="AR124" s="149"/>
      <c r="AS124" s="149"/>
      <c r="AT124" s="149"/>
      <c r="AU124" s="149"/>
      <c r="AV124" s="149"/>
      <c r="DG124" s="61"/>
      <c r="DH124" s="61"/>
      <c r="DI124" s="62" t="s">
        <v>16</v>
      </c>
      <c r="DJ124" s="62"/>
      <c r="DK124" s="62"/>
      <c r="DL124" s="62" t="s">
        <v>17</v>
      </c>
      <c r="DM124" s="62" t="s">
        <v>18</v>
      </c>
      <c r="DN124" s="62"/>
      <c r="DO124" s="62" t="s">
        <v>19</v>
      </c>
      <c r="DP124" s="89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</row>
    <row r="125" spans="43:139" s="60" customFormat="1" ht="12" customHeight="1">
      <c r="AQ125" s="149"/>
      <c r="AR125" s="149"/>
      <c r="AS125" s="149"/>
      <c r="AT125" s="149"/>
      <c r="AU125" s="149"/>
      <c r="AV125" s="149"/>
      <c r="DG125" s="61"/>
      <c r="DH125" s="61"/>
      <c r="DI125" s="62" t="s">
        <v>20</v>
      </c>
      <c r="DJ125" s="62"/>
      <c r="DK125" s="62"/>
      <c r="DL125" s="62" t="s">
        <v>21</v>
      </c>
      <c r="DM125" s="62" t="s">
        <v>22</v>
      </c>
      <c r="DN125" s="62"/>
      <c r="DO125" s="62" t="s">
        <v>23</v>
      </c>
      <c r="DP125" s="89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</row>
    <row r="126" spans="43:139" s="60" customFormat="1" ht="12" customHeight="1">
      <c r="AQ126" s="149"/>
      <c r="AR126" s="149"/>
      <c r="AS126" s="149"/>
      <c r="AT126" s="149"/>
      <c r="AU126" s="149"/>
      <c r="AV126" s="149"/>
      <c r="DG126" s="61"/>
      <c r="DH126" s="61"/>
      <c r="DI126" s="62" t="s">
        <v>24</v>
      </c>
      <c r="DJ126" s="62"/>
      <c r="DK126" s="62"/>
      <c r="DL126" s="62" t="s">
        <v>25</v>
      </c>
      <c r="DM126" s="62" t="s">
        <v>26</v>
      </c>
      <c r="DN126" s="62"/>
      <c r="DO126" s="62" t="s">
        <v>27</v>
      </c>
      <c r="DP126" s="89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</row>
    <row r="127" spans="43:139" s="60" customFormat="1" ht="12" customHeight="1">
      <c r="AQ127" s="149"/>
      <c r="AR127" s="149"/>
      <c r="AS127" s="149"/>
      <c r="AT127" s="149"/>
      <c r="AU127" s="149"/>
      <c r="AV127" s="149"/>
      <c r="DG127" s="61"/>
      <c r="DH127" s="61"/>
      <c r="DI127" s="62" t="s">
        <v>28</v>
      </c>
      <c r="DJ127" s="62"/>
      <c r="DK127" s="62"/>
      <c r="DL127" s="62" t="s">
        <v>29</v>
      </c>
      <c r="DM127" s="62" t="s">
        <v>30</v>
      </c>
      <c r="DN127" s="62"/>
      <c r="DO127" s="62" t="s">
        <v>31</v>
      </c>
      <c r="DP127" s="89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</row>
    <row r="128" spans="43:139" s="60" customFormat="1" ht="12" customHeight="1">
      <c r="AQ128" s="149"/>
      <c r="AR128" s="149"/>
      <c r="AS128" s="149"/>
      <c r="AT128" s="149"/>
      <c r="AU128" s="149"/>
      <c r="AV128" s="149"/>
      <c r="DG128" s="61"/>
      <c r="DH128" s="61"/>
      <c r="DI128" s="62" t="s">
        <v>32</v>
      </c>
      <c r="DJ128" s="62"/>
      <c r="DK128" s="62"/>
      <c r="DL128" s="62" t="s">
        <v>33</v>
      </c>
      <c r="DM128" s="62" t="s">
        <v>34</v>
      </c>
      <c r="DN128" s="62"/>
      <c r="DO128" s="62" t="s">
        <v>35</v>
      </c>
      <c r="DP128" s="89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</row>
    <row r="129" spans="43:139" s="60" customFormat="1" ht="12" customHeight="1">
      <c r="AQ129" s="149"/>
      <c r="AR129" s="149"/>
      <c r="AS129" s="149"/>
      <c r="AT129" s="149"/>
      <c r="AU129" s="149"/>
      <c r="AV129" s="149"/>
      <c r="DG129" s="61"/>
      <c r="DH129" s="61"/>
      <c r="DI129" s="93" t="s">
        <v>36</v>
      </c>
      <c r="DJ129" s="62"/>
      <c r="DK129" s="62"/>
      <c r="DL129" s="62" t="s">
        <v>37</v>
      </c>
      <c r="DM129" s="62" t="s">
        <v>38</v>
      </c>
      <c r="DN129" s="62"/>
      <c r="DO129" s="62" t="s">
        <v>39</v>
      </c>
      <c r="DP129" s="89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</row>
    <row r="130" spans="43:139" s="60" customFormat="1" ht="12" customHeight="1">
      <c r="AQ130" s="149"/>
      <c r="AR130" s="149"/>
      <c r="AS130" s="149"/>
      <c r="AT130" s="149"/>
      <c r="AU130" s="149"/>
      <c r="AV130" s="149"/>
      <c r="DG130" s="61"/>
      <c r="DH130" s="61"/>
      <c r="DI130" s="62" t="s">
        <v>40</v>
      </c>
      <c r="DJ130" s="62"/>
      <c r="DK130" s="62"/>
      <c r="DL130" s="62" t="s">
        <v>41</v>
      </c>
      <c r="DM130" s="62" t="s">
        <v>42</v>
      </c>
      <c r="DN130" s="62"/>
      <c r="DO130" s="62" t="s">
        <v>43</v>
      </c>
      <c r="DP130" s="89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</row>
    <row r="131" spans="43:139" s="60" customFormat="1" ht="12" customHeight="1">
      <c r="AQ131" s="149"/>
      <c r="AR131" s="149"/>
      <c r="AS131" s="149"/>
      <c r="AT131" s="149"/>
      <c r="AU131" s="149"/>
      <c r="AV131" s="149"/>
      <c r="DG131" s="61"/>
      <c r="DH131" s="61"/>
      <c r="DI131" s="62"/>
      <c r="DJ131" s="62"/>
      <c r="DK131" s="62"/>
      <c r="DL131" s="62" t="s">
        <v>44</v>
      </c>
      <c r="DM131" s="62" t="s">
        <v>45</v>
      </c>
      <c r="DN131" s="62"/>
      <c r="DO131" s="62"/>
      <c r="DP131" s="89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</row>
    <row r="132" spans="43:139" s="60" customFormat="1" ht="12" customHeight="1">
      <c r="AQ132" s="149"/>
      <c r="AR132" s="149"/>
      <c r="AS132" s="149"/>
      <c r="AT132" s="149"/>
      <c r="AU132" s="149"/>
      <c r="AV132" s="149"/>
      <c r="DG132" s="61"/>
      <c r="DH132" s="61"/>
      <c r="DI132" s="79"/>
      <c r="DJ132" s="80"/>
      <c r="DK132" s="80"/>
      <c r="DL132" s="80"/>
      <c r="DM132" s="81">
        <f>AH47</f>
        <v>4776.29</v>
      </c>
      <c r="DN132" s="79"/>
      <c r="DO132" s="82"/>
      <c r="DP132" s="83"/>
      <c r="DQ132" s="63"/>
      <c r="DR132" s="63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</row>
    <row r="133" spans="43:139" s="60" customFormat="1" ht="12" customHeight="1">
      <c r="AQ133" s="149"/>
      <c r="AR133" s="149"/>
      <c r="AS133" s="149"/>
      <c r="AT133" s="149"/>
      <c r="AU133" s="149"/>
      <c r="AV133" s="149"/>
      <c r="DG133" s="61"/>
      <c r="DH133" s="61"/>
      <c r="DI133" s="84" t="s">
        <v>2</v>
      </c>
      <c r="DJ133" s="85" t="str">
        <f>SUBSTITUTE(DJ135,DN139,DN140,1)</f>
        <v>Четыре тысячи семьсот семьдесят шесть рублей </v>
      </c>
      <c r="DK133" s="84"/>
      <c r="DL133" s="84"/>
      <c r="DM133" s="86"/>
      <c r="DN133" s="84"/>
      <c r="DO133" s="84"/>
      <c r="DP133" s="83"/>
      <c r="DQ133" s="63"/>
      <c r="DR133" s="63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</row>
    <row r="134" spans="43:139" s="60" customFormat="1" ht="12" customHeight="1">
      <c r="AQ134" s="149"/>
      <c r="AR134" s="149"/>
      <c r="AS134" s="149"/>
      <c r="AT134" s="149"/>
      <c r="AU134" s="149"/>
      <c r="AV134" s="149"/>
      <c r="DG134" s="61"/>
      <c r="DH134" s="61"/>
      <c r="DI134" s="84" t="s">
        <v>4</v>
      </c>
      <c r="DJ134" s="85" t="str">
        <f>SUBSTITUTE(DJ136,DN139,DN140,1)</f>
        <v>Четыре тысячи семьсот семьдесят шесть рублей </v>
      </c>
      <c r="DK134" s="84"/>
      <c r="DL134" s="84"/>
      <c r="DM134" s="84"/>
      <c r="DN134" s="84"/>
      <c r="DO134" s="84"/>
      <c r="DP134" s="83"/>
      <c r="DQ134" s="63"/>
      <c r="DR134" s="63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</row>
    <row r="135" spans="43:139" s="60" customFormat="1" ht="12" customHeight="1">
      <c r="AQ135" s="149"/>
      <c r="AR135" s="149"/>
      <c r="AS135" s="149"/>
      <c r="AT135" s="149"/>
      <c r="AU135" s="149"/>
      <c r="AV135" s="149"/>
      <c r="DG135" s="61"/>
      <c r="DH135" s="61"/>
      <c r="DI135" s="84" t="s">
        <v>5</v>
      </c>
      <c r="DJ135" s="85" t="str">
        <f>CONCATENATE(DI138,DI139,DI140,DI141,DI142)</f>
        <v>четыре тысячи семьсот семьдесят шесть рублей </v>
      </c>
      <c r="DK135" s="84"/>
      <c r="DL135" s="84"/>
      <c r="DM135" s="84"/>
      <c r="DN135" s="84"/>
      <c r="DO135" s="84"/>
      <c r="DP135" s="84"/>
      <c r="DQ135" s="64"/>
      <c r="DR135" s="64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</row>
    <row r="136" spans="43:139" s="60" customFormat="1" ht="12" customHeight="1">
      <c r="AQ136" s="149"/>
      <c r="AR136" s="149"/>
      <c r="AS136" s="149"/>
      <c r="AT136" s="149"/>
      <c r="AU136" s="149"/>
      <c r="AV136" s="149"/>
      <c r="DG136" s="61"/>
      <c r="DH136" s="61"/>
      <c r="DI136" s="84" t="s">
        <v>6</v>
      </c>
      <c r="DJ136" s="85" t="str">
        <f>CONCATENATE(DI138,DI139,DI140,DI141,DI142,DJ138,DJ139,DK139)</f>
        <v>четыре тысячи семьсот семьдесят шесть рублей </v>
      </c>
      <c r="DK136" s="84"/>
      <c r="DL136" s="84"/>
      <c r="DM136" s="84"/>
      <c r="DN136" s="85"/>
      <c r="DO136" s="85"/>
      <c r="DP136" s="84"/>
      <c r="DQ136" s="64"/>
      <c r="DR136" s="64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</row>
    <row r="137" spans="43:139" s="60" customFormat="1" ht="12" customHeight="1">
      <c r="AQ137" s="149"/>
      <c r="AR137" s="149"/>
      <c r="AS137" s="149"/>
      <c r="AT137" s="149"/>
      <c r="AU137" s="149"/>
      <c r="AV137" s="149"/>
      <c r="DG137" s="61"/>
      <c r="DH137" s="61"/>
      <c r="DI137" s="79"/>
      <c r="DJ137" s="79"/>
      <c r="DK137" s="79"/>
      <c r="DL137" s="87"/>
      <c r="DM137" s="79"/>
      <c r="DN137" s="79"/>
      <c r="DO137" s="79"/>
      <c r="DP137" s="84"/>
      <c r="DQ137" s="64"/>
      <c r="DR137" s="64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</row>
    <row r="138" spans="43:139" s="60" customFormat="1" ht="12" customHeight="1">
      <c r="AQ138" s="149"/>
      <c r="AR138" s="149"/>
      <c r="AS138" s="149"/>
      <c r="AT138" s="149"/>
      <c r="AU138" s="149"/>
      <c r="AV138" s="149"/>
      <c r="DG138" s="61"/>
      <c r="DH138" s="61"/>
      <c r="DI138" s="62">
        <f>CONCATENATE(IF(DJ145=0,"",DM145),IF(DJ146=0,"",IF(DK147&lt;20,IF(DK147&lt;16,IF(DK147&lt;10,DM146,DL147),DN147),DM146)),IF(DJ147=0,"",IF(NOT(DJ146=1),DM147,"")),DN148)</f>
      </c>
      <c r="DJ138" s="79"/>
      <c r="DK138" s="79"/>
      <c r="DL138" s="87"/>
      <c r="DM138" s="79"/>
      <c r="DN138" s="88">
        <f>CODE(DJ136)</f>
        <v>247</v>
      </c>
      <c r="DO138" s="62"/>
      <c r="DP138" s="79"/>
      <c r="DQ138" s="65"/>
      <c r="DR138" s="65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</row>
    <row r="139" spans="43:139" s="60" customFormat="1" ht="12" customHeight="1">
      <c r="AQ139" s="149"/>
      <c r="AR139" s="149"/>
      <c r="AS139" s="149"/>
      <c r="AT139" s="149"/>
      <c r="AU139" s="149"/>
      <c r="AV139" s="149"/>
      <c r="DG139" s="61"/>
      <c r="DH139" s="61"/>
      <c r="DI139" s="62">
        <f>CONCATENATE(IF(DJ149=0,"",DM149),IF(DJ150=0,"",IF(DK151&lt;20,IF(DK151&lt;16,IF(DK151&lt;10,DM150,DL151),DN151),DM150)),IF(DJ151=0,"",IF(NOT(DJ150=1),DM151,"")),DN152)</f>
      </c>
      <c r="DJ139" s="79"/>
      <c r="DK139" s="79"/>
      <c r="DL139" s="87"/>
      <c r="DM139" s="79"/>
      <c r="DN139" s="88" t="str">
        <f>CHAR(DN138)</f>
        <v>ч</v>
      </c>
      <c r="DO139" s="62"/>
      <c r="DP139" s="89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</row>
    <row r="140" spans="43:139" s="60" customFormat="1" ht="12" customHeight="1">
      <c r="AQ140" s="149"/>
      <c r="AR140" s="149"/>
      <c r="AS140" s="149"/>
      <c r="AT140" s="149"/>
      <c r="AU140" s="149"/>
      <c r="AV140" s="149"/>
      <c r="DG140" s="61"/>
      <c r="DH140" s="61"/>
      <c r="DI140" s="62" t="str">
        <f>CONCATENATE(IF(DJ153=0,"",DM153),IF(DJ154=0,"",IF(DK155&lt;20,IF(DK155&lt;16,IF(DK155&lt;10,DM154,DL155),DN155),DM154)),IF(DJ155=0,"",IF(NOT(DJ154=1),DM155,"")),DN156)</f>
        <v>четыре тысячи </v>
      </c>
      <c r="DJ140" s="62"/>
      <c r="DK140" s="62"/>
      <c r="DL140" s="90"/>
      <c r="DM140" s="91"/>
      <c r="DN140" s="88" t="str">
        <f>PROPER(DN139)</f>
        <v>Ч</v>
      </c>
      <c r="DO140" s="62"/>
      <c r="DP140" s="89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</row>
    <row r="141" spans="43:139" s="60" customFormat="1" ht="12" customHeight="1">
      <c r="AQ141" s="149"/>
      <c r="AR141" s="149"/>
      <c r="AS141" s="149"/>
      <c r="AT141" s="149"/>
      <c r="AU141" s="149"/>
      <c r="AV141" s="149"/>
      <c r="DG141" s="61"/>
      <c r="DH141" s="61"/>
      <c r="DI141" s="62" t="str">
        <f>CONCATENATE(IF(DJ157=0,"",DM157),IF(DJ158=0,"",IF(DK159&lt;20,IF(DK159&lt;16,IF(DK159&lt;10,DM158,DL159),DN159),DM158)),IF(DJ159=0,"",IF(NOT(DJ158=1),DM159,"")),DN160)</f>
        <v>семьсот семьдесят шесть рублей </v>
      </c>
      <c r="DJ141" s="62"/>
      <c r="DK141" s="62"/>
      <c r="DL141" s="90"/>
      <c r="DM141" s="91"/>
      <c r="DN141" s="62"/>
      <c r="DO141" s="62"/>
      <c r="DP141" s="89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</row>
    <row r="142" spans="43:139" s="60" customFormat="1" ht="12" customHeight="1">
      <c r="AQ142" s="149"/>
      <c r="AR142" s="149"/>
      <c r="AS142" s="149"/>
      <c r="AT142" s="149"/>
      <c r="AU142" s="149"/>
      <c r="AV142" s="149"/>
      <c r="DG142" s="61"/>
      <c r="DH142" s="61"/>
      <c r="DI142" s="92"/>
      <c r="DJ142" s="62"/>
      <c r="DK142" s="62"/>
      <c r="DL142" s="90"/>
      <c r="DM142" s="91"/>
      <c r="DN142" s="62"/>
      <c r="DO142" s="62"/>
      <c r="DP142" s="89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</row>
    <row r="143" spans="43:139" s="60" customFormat="1" ht="12" customHeight="1">
      <c r="AQ143" s="149"/>
      <c r="AR143" s="149"/>
      <c r="AS143" s="149"/>
      <c r="AT143" s="149"/>
      <c r="AU143" s="149"/>
      <c r="AV143" s="149"/>
      <c r="DG143" s="61"/>
      <c r="DH143" s="61"/>
      <c r="DI143" s="92"/>
      <c r="DJ143" s="62"/>
      <c r="DK143" s="62"/>
      <c r="DL143" s="62"/>
      <c r="DM143" s="90">
        <f>TRUNC(DM132)</f>
        <v>4776</v>
      </c>
      <c r="DN143" s="62" t="s">
        <v>7</v>
      </c>
      <c r="DO143" s="62"/>
      <c r="DP143" s="89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</row>
    <row r="144" spans="43:139" s="60" customFormat="1" ht="12" customHeight="1">
      <c r="AQ144" s="149"/>
      <c r="AR144" s="149"/>
      <c r="AS144" s="149"/>
      <c r="AT144" s="149"/>
      <c r="AU144" s="149"/>
      <c r="AV144" s="149"/>
      <c r="DG144" s="61"/>
      <c r="DH144" s="61"/>
      <c r="DI144" s="92">
        <f>TRUNC(DI145/10)</f>
        <v>0</v>
      </c>
      <c r="DJ144" s="90"/>
      <c r="DK144" s="62"/>
      <c r="DL144" s="62"/>
      <c r="DM144" s="62"/>
      <c r="DN144" s="62"/>
      <c r="DO144" s="62"/>
      <c r="DP144" s="89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</row>
    <row r="145" spans="43:139" s="60" customFormat="1" ht="12" customHeight="1">
      <c r="AQ145" s="149"/>
      <c r="AR145" s="149"/>
      <c r="AS145" s="149"/>
      <c r="AT145" s="149"/>
      <c r="AU145" s="149"/>
      <c r="AV145" s="149"/>
      <c r="DG145" s="61"/>
      <c r="DH145" s="61"/>
      <c r="DI145" s="92">
        <f>TRUNC(DI146/10)</f>
        <v>0</v>
      </c>
      <c r="DJ145" s="90">
        <f>TRUNC(RIGHT(DI145))</f>
        <v>0</v>
      </c>
      <c r="DK145" s="62">
        <f>DJ145</f>
        <v>0</v>
      </c>
      <c r="DL145" s="62"/>
      <c r="DM145" s="62" t="str">
        <f>IF(DJ145=1,DM173,IF(DJ145=2,DO165,IF(DJ145=3,DO166,IF(DJ145=4,DO167,IF(DJ145=5,DO168,IF(DJ145=6,DO169,IF(DJ145=7,DO170,IF(DJ145=8,DO171,DO172))))))))</f>
        <v>девятьсот </v>
      </c>
      <c r="DN145" s="62"/>
      <c r="DO145" s="62"/>
      <c r="DP145" s="89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</row>
    <row r="146" spans="43:139" s="60" customFormat="1" ht="12" customHeight="1">
      <c r="AQ146" s="149"/>
      <c r="AR146" s="149"/>
      <c r="AS146" s="149"/>
      <c r="AT146" s="149"/>
      <c r="AU146" s="149"/>
      <c r="AV146" s="149"/>
      <c r="DG146" s="61"/>
      <c r="DH146" s="61"/>
      <c r="DI146" s="92">
        <f>TRUNC(DI147/10)</f>
        <v>0</v>
      </c>
      <c r="DJ146" s="90">
        <f>TRUNC(RIGHT(DI146))</f>
        <v>0</v>
      </c>
      <c r="DK146" s="62">
        <f>IF(DJ146=1,"",DJ146)</f>
        <v>0</v>
      </c>
      <c r="DL146" s="62"/>
      <c r="DM146" s="91">
        <f>IF(OR(DK146=0,DJ146=1),"",IF(DJ146=2,DM165,IF(DJ146=3,DM166,IF(DJ146=4,DM167,IF(DJ146=5,DM168,IF(DJ146=6,DM169,IF(DJ146=7,DM170,IF(DJ146=8,DM171,DM172))))))))</f>
      </c>
      <c r="DN146" s="62"/>
      <c r="DO146" s="62"/>
      <c r="DP146" s="89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</row>
    <row r="147" spans="43:139" s="60" customFormat="1" ht="12" customHeight="1">
      <c r="AQ147" s="149"/>
      <c r="AR147" s="149"/>
      <c r="AS147" s="149"/>
      <c r="AT147" s="149"/>
      <c r="AU147" s="149"/>
      <c r="AV147" s="149"/>
      <c r="DG147" s="61"/>
      <c r="DH147" s="61"/>
      <c r="DI147" s="92">
        <f>TRUNC(DI149/10)</f>
        <v>0</v>
      </c>
      <c r="DJ147" s="90">
        <f>TRUNC(RIGHT(DI147))</f>
        <v>0</v>
      </c>
      <c r="DK147" s="62">
        <f>IF(DJ146=1,DJ147+10,IF(DJ147=0,0,DJ147))</f>
        <v>0</v>
      </c>
      <c r="DL147" s="62">
        <f>IF(AND(DK147&gt;9,DK147&lt;16),IF(DK147=10,DL164,IF(DK147=11,DL165,IF(DK147=12,DL166,IF(DK147=13,DL167,IF(DK147=14,DL168,IF(DK147=15,DL169,)))))),"")</f>
      </c>
      <c r="DM147" s="91" t="str">
        <f>IF(DJ147=1,DI164,IF(DJ147=2,DI165,IF(DJ147=3,DI166,IF(DJ147=4,DI167,IF(DJ147=5,DI168,IF(DJ147=6,DI169,IF(DJ147=7,DI170,IF(DJ147=8,DI171,DI172))))))))</f>
        <v>девять </v>
      </c>
      <c r="DN147" s="62">
        <f>IF(AND(DK147&gt;15,DK147&lt;20),IF(DK147=16,DL170,IF(DK147=17,DL171,IF(DK147=18,DL172,IF(DK147=19,DL173,)))),"")</f>
      </c>
      <c r="DO147" s="62"/>
      <c r="DP147" s="89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</row>
    <row r="148" spans="43:139" s="60" customFormat="1" ht="12" customHeight="1">
      <c r="AQ148" s="149"/>
      <c r="AR148" s="149"/>
      <c r="AS148" s="149"/>
      <c r="AT148" s="149"/>
      <c r="AU148" s="149"/>
      <c r="AV148" s="149"/>
      <c r="DG148" s="61"/>
      <c r="DH148" s="61"/>
      <c r="DI148" s="92"/>
      <c r="DJ148" s="90"/>
      <c r="DK148" s="62"/>
      <c r="DL148" s="90"/>
      <c r="DM148" s="62">
        <f>DJ147+DJ146*10+DJ145*100</f>
        <v>0</v>
      </c>
      <c r="DN148" s="62">
        <f>IF(DM148=0,"",IF(DJ146=1,"миллиардов ",IF(DJ147=1,"миллиард ",IF(OR(DJ147=2,DJ147=3,DJ147=4),"миллиарда ","миллиардов "))))</f>
      </c>
      <c r="DO148" s="62"/>
      <c r="DP148" s="89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</row>
    <row r="149" spans="43:139" s="60" customFormat="1" ht="12" customHeight="1">
      <c r="AQ149" s="149"/>
      <c r="AR149" s="149"/>
      <c r="AS149" s="149"/>
      <c r="AT149" s="149"/>
      <c r="AU149" s="149"/>
      <c r="AV149" s="149"/>
      <c r="DG149" s="61"/>
      <c r="DH149" s="61"/>
      <c r="DI149" s="92">
        <f>TRUNC(DI150/10)</f>
        <v>0</v>
      </c>
      <c r="DJ149" s="90">
        <f>TRUNC(RIGHT(DI149))</f>
        <v>0</v>
      </c>
      <c r="DK149" s="62">
        <f>DJ149</f>
        <v>0</v>
      </c>
      <c r="DL149" s="62"/>
      <c r="DM149" s="62" t="str">
        <f>IF(DJ149=1,DM173,IF(DJ149=2,DO165,IF(DJ149=3,DO166,IF(DJ149=4,DO167,IF(DJ149=5,DO168,IF(DJ149=6,DO169,IF(DJ149=7,DO170,IF(DJ149=8,DO171,DO172))))))))</f>
        <v>девятьсот </v>
      </c>
      <c r="DN149" s="62"/>
      <c r="DO149" s="62"/>
      <c r="DP149" s="89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</row>
    <row r="150" spans="43:139" s="60" customFormat="1" ht="12" customHeight="1">
      <c r="AQ150" s="149"/>
      <c r="AR150" s="149"/>
      <c r="AS150" s="149"/>
      <c r="AT150" s="149"/>
      <c r="AU150" s="149"/>
      <c r="AV150" s="149"/>
      <c r="DG150" s="61"/>
      <c r="DH150" s="61"/>
      <c r="DI150" s="92">
        <f>TRUNC(DI151/10)</f>
        <v>0</v>
      </c>
      <c r="DJ150" s="90">
        <f>TRUNC(RIGHT(DI150))</f>
        <v>0</v>
      </c>
      <c r="DK150" s="62">
        <f>IF(DJ150=1,"",DJ150)</f>
        <v>0</v>
      </c>
      <c r="DL150" s="62"/>
      <c r="DM150" s="91">
        <f>IF(OR(DK150=0,DJ150=1),"",IF(DJ150=2,DM165,IF(DJ150=3,DM166,IF(DJ150=4,DM167,IF(DJ150=5,DM168,IF(DJ150=6,DM169,IF(DJ150=7,DM170,IF(DJ150=8,DM171,DM172))))))))</f>
      </c>
      <c r="DN150" s="62"/>
      <c r="DO150" s="79"/>
      <c r="DP150" s="89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</row>
    <row r="151" spans="43:139" s="60" customFormat="1" ht="12" customHeight="1">
      <c r="AQ151" s="149"/>
      <c r="AR151" s="149"/>
      <c r="AS151" s="149"/>
      <c r="AT151" s="149"/>
      <c r="AU151" s="149"/>
      <c r="AV151" s="149"/>
      <c r="DG151" s="61"/>
      <c r="DH151" s="61"/>
      <c r="DI151" s="92">
        <f>TRUNC(DI153/10)</f>
        <v>0</v>
      </c>
      <c r="DJ151" s="90">
        <f>TRUNC(RIGHT(DI151))</f>
        <v>0</v>
      </c>
      <c r="DK151" s="62">
        <f>IF(DJ150=1,DJ151+10,IF(DJ151=0,0,DJ151))</f>
        <v>0</v>
      </c>
      <c r="DL151" s="62">
        <f>IF(AND(DK151&gt;9,DK151&lt;16),IF(DK151=10,DL164,IF(DK151=11,DL165,IF(DK151=12,DL166,IF(DK151=13,DL167,IF(DK151=14,DL168,IF(DK151=15,DL169,)))))),"")</f>
      </c>
      <c r="DM151" s="91" t="str">
        <f>IF(DJ151=1,DI164,IF(DJ151=2,DI165,IF(DJ151=3,DI166,IF(DJ151=4,DI167,IF(DJ151=5,DI168,IF(DJ151=6,DI169,IF(DJ151=7,DI170,IF(DJ151=8,DI171,DI172))))))))</f>
        <v>девять </v>
      </c>
      <c r="DN151" s="62">
        <f>IF(AND(DK151&gt;15,DK151&lt;20),IF(DK151=16,DL170,IF(DK151=17,DL171,IF(DK151=18,DL172,IF(DK151=19,DL173,)))),"")</f>
      </c>
      <c r="DO151" s="62"/>
      <c r="DP151" s="89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</row>
    <row r="152" spans="43:139" s="60" customFormat="1" ht="12" customHeight="1">
      <c r="AQ152" s="149"/>
      <c r="AR152" s="149"/>
      <c r="AS152" s="149"/>
      <c r="AT152" s="149"/>
      <c r="AU152" s="149"/>
      <c r="AV152" s="149"/>
      <c r="DG152" s="61"/>
      <c r="DH152" s="61"/>
      <c r="DI152" s="92"/>
      <c r="DJ152" s="90"/>
      <c r="DK152" s="62"/>
      <c r="DL152" s="62"/>
      <c r="DM152" s="62">
        <f>DJ151+DJ150*10+DJ149*100</f>
        <v>0</v>
      </c>
      <c r="DN152" s="62">
        <f>IF(DM152=0,"",IF(DJ150=1,"миллионов ",IF(DJ151=1,"миллион ",IF(OR(DJ151=2,DJ151=3,DJ151=4),"миллиона ","миллионов "))))</f>
      </c>
      <c r="DO152" s="62"/>
      <c r="DP152" s="89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</row>
    <row r="153" spans="43:139" s="60" customFormat="1" ht="12" customHeight="1">
      <c r="AQ153" s="149"/>
      <c r="AR153" s="149"/>
      <c r="AS153" s="149"/>
      <c r="AT153" s="149"/>
      <c r="AU153" s="149"/>
      <c r="AV153" s="149"/>
      <c r="DG153" s="61"/>
      <c r="DH153" s="61"/>
      <c r="DI153" s="92">
        <f>TRUNC(DI154/10)</f>
        <v>0</v>
      </c>
      <c r="DJ153" s="90">
        <f>TRUNC(RIGHT(DI153))</f>
        <v>0</v>
      </c>
      <c r="DK153" s="62">
        <f>DJ153</f>
        <v>0</v>
      </c>
      <c r="DL153" s="62"/>
      <c r="DM153" s="62" t="str">
        <f>IF(DJ153=1,DM173,IF(DJ153=2,DO165,IF(DJ153=3,DO166,IF(DJ153=4,DO167,IF(DJ153=5,DO168,IF(DJ153=6,DO169,IF(DJ153=7,DO170,IF(DJ153=8,DO171,DO172))))))))</f>
        <v>девятьсот </v>
      </c>
      <c r="DN153" s="62"/>
      <c r="DO153" s="62"/>
      <c r="DP153" s="89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</row>
    <row r="154" spans="43:139" s="60" customFormat="1" ht="12" customHeight="1">
      <c r="AQ154" s="149"/>
      <c r="AR154" s="149"/>
      <c r="AS154" s="149"/>
      <c r="AT154" s="149"/>
      <c r="AU154" s="149"/>
      <c r="AV154" s="149"/>
      <c r="DG154" s="61"/>
      <c r="DH154" s="61"/>
      <c r="DI154" s="92">
        <f>TRUNC(DI155/10)</f>
        <v>0</v>
      </c>
      <c r="DJ154" s="90">
        <f>TRUNC(RIGHT(DI154))</f>
        <v>0</v>
      </c>
      <c r="DK154" s="62">
        <f>IF(DJ154=1,"",DJ154)</f>
        <v>0</v>
      </c>
      <c r="DL154" s="62"/>
      <c r="DM154" s="91">
        <f>IF(OR(DK154=0,DJ154=1),"",IF(DJ154=2,DM165,IF(DJ154=3,DM166,IF(DJ154=4,DM167,IF(DJ154=5,DM168,IF(DJ154=6,DM169,IF(DJ154=7,DM170,IF(DJ154=8,DM171,DM172))))))))</f>
      </c>
      <c r="DN154" s="62"/>
      <c r="DO154" s="62"/>
      <c r="DP154" s="89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</row>
    <row r="155" spans="43:139" s="60" customFormat="1" ht="12" customHeight="1">
      <c r="AQ155" s="149"/>
      <c r="AR155" s="149"/>
      <c r="AS155" s="149"/>
      <c r="AT155" s="149"/>
      <c r="AU155" s="149"/>
      <c r="AV155" s="149"/>
      <c r="DG155" s="61"/>
      <c r="DH155" s="61"/>
      <c r="DI155" s="92">
        <f>TRUNC(DI157/10)</f>
        <v>4</v>
      </c>
      <c r="DJ155" s="90">
        <f>TRUNC(RIGHT(DI155))</f>
        <v>4</v>
      </c>
      <c r="DK155" s="62">
        <f>IF(DJ154=1,DJ155+10,IF(DJ155=0,0,DJ155))</f>
        <v>4</v>
      </c>
      <c r="DL155" s="62">
        <f>IF(AND(DK155&gt;9,DK155&lt;16),IF(DK155=10,DL164,IF(DK155=11,DL165,IF(DK155=12,DL166,IF(DK155=13,DL167,IF(DK155=14,DL168,IF(DK155=15,DL169,)))))),"")</f>
      </c>
      <c r="DM155" s="91" t="str">
        <f>IF(DJ155=1,DJ164,IF(DJ155=2,DJ165,IF(DJ155=3,DI166,IF(DJ155=4,DI167,IF(DJ155=5,DI168,IF(DJ155=6,DI169,IF(DJ155=7,DI170,IF(DJ155=8,DI171,DI172))))))))</f>
        <v>четыре </v>
      </c>
      <c r="DN155" s="62">
        <f>IF(AND(DK155&gt;15,DK155&lt;20),IF(DK155=16,DL170,IF(DK155=17,DL171,IF(DK155=18,DL172,IF(DK155=19,DL173,)))),"")</f>
      </c>
      <c r="DO155" s="62"/>
      <c r="DP155" s="89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</row>
    <row r="156" spans="43:139" s="60" customFormat="1" ht="12" customHeight="1">
      <c r="AQ156" s="149"/>
      <c r="AR156" s="149"/>
      <c r="AS156" s="149"/>
      <c r="AT156" s="149"/>
      <c r="AU156" s="149"/>
      <c r="AV156" s="149"/>
      <c r="DG156" s="61"/>
      <c r="DH156" s="61"/>
      <c r="DI156" s="92"/>
      <c r="DJ156" s="90"/>
      <c r="DK156" s="62"/>
      <c r="DL156" s="62"/>
      <c r="DM156" s="91">
        <f>DJ153*100+DJ154*10+DJ155</f>
        <v>4</v>
      </c>
      <c r="DN156" s="62" t="str">
        <f>IF(DM156=0,"",IF(DJ154=1,"тысяч ",IF(DJ155=1,"тысяча ",IF(OR(DJ155=2,DJ155=3,DJ155=4),"тысячи ","тысяч "))))</f>
        <v>тысячи </v>
      </c>
      <c r="DO156" s="62"/>
      <c r="DP156" s="89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</row>
    <row r="157" spans="43:139" s="60" customFormat="1" ht="12" customHeight="1">
      <c r="AQ157" s="149"/>
      <c r="AR157" s="149"/>
      <c r="AS157" s="149"/>
      <c r="AT157" s="149"/>
      <c r="AU157" s="149"/>
      <c r="AV157" s="149"/>
      <c r="DG157" s="61"/>
      <c r="DH157" s="61"/>
      <c r="DI157" s="92">
        <f>TRUNC(DI158/10)</f>
        <v>47</v>
      </c>
      <c r="DJ157" s="90">
        <f>TRUNC(RIGHT(DI157))</f>
        <v>7</v>
      </c>
      <c r="DK157" s="62">
        <f>DJ157</f>
        <v>7</v>
      </c>
      <c r="DL157" s="62"/>
      <c r="DM157" s="62" t="str">
        <f>IF(DJ157=1,DM173,IF(DJ157=2,DO165,IF(DJ157=3,DO166,IF(DJ157=4,DO167,IF(DJ157=5,DO168,IF(DJ157=6,DO169,IF(DJ157=7,DO170,IF(DJ157=8,DO171,DO172))))))))</f>
        <v>семьсот </v>
      </c>
      <c r="DN157" s="62"/>
      <c r="DO157" s="62"/>
      <c r="DP157" s="89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</row>
    <row r="158" spans="43:139" s="60" customFormat="1" ht="12" customHeight="1">
      <c r="AQ158" s="149"/>
      <c r="AR158" s="149"/>
      <c r="AS158" s="149"/>
      <c r="AT158" s="149"/>
      <c r="AU158" s="149"/>
      <c r="AV158" s="149"/>
      <c r="DG158" s="61"/>
      <c r="DH158" s="61"/>
      <c r="DI158" s="92">
        <f>TRUNC(DI159/10)</f>
        <v>477</v>
      </c>
      <c r="DJ158" s="62">
        <f>TRUNC(RIGHT(DI158))</f>
        <v>7</v>
      </c>
      <c r="DK158" s="62">
        <f>IF(DJ158=1,"",DJ158)</f>
        <v>7</v>
      </c>
      <c r="DL158" s="62"/>
      <c r="DM158" s="91" t="str">
        <f>IF(OR(DK158=0,DJ158=1),"",IF(DK158=2,DM165,IF(DK158=3,DM166,IF(DK158=4,DM167,IF(DK158=5,DM168,IF(DK158=6,DM169,IF(DK158=7,DM170,IF(DK158=8,DM171,DM172))))))))</f>
        <v>семьдесят </v>
      </c>
      <c r="DN158" s="62"/>
      <c r="DO158" s="90"/>
      <c r="DP158" s="89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</row>
    <row r="159" spans="43:139" s="60" customFormat="1" ht="12" customHeight="1">
      <c r="AQ159" s="149"/>
      <c r="AR159" s="149"/>
      <c r="AS159" s="149"/>
      <c r="AT159" s="149"/>
      <c r="AU159" s="149"/>
      <c r="AV159" s="149"/>
      <c r="DG159" s="61"/>
      <c r="DH159" s="61"/>
      <c r="DI159" s="92">
        <f>DM143</f>
        <v>4776</v>
      </c>
      <c r="DJ159" s="90">
        <f>TRUNC(RIGHT(DI159))</f>
        <v>6</v>
      </c>
      <c r="DK159" s="62">
        <f>IF(DJ158=1,DJ159+10,IF(DJ159=0,0,DJ159))</f>
        <v>6</v>
      </c>
      <c r="DL159" s="62">
        <f>IF(AND(DK159&gt;9,DK159&lt;16),IF(DK159=10,DL164,IF(DK159=11,DL165,IF(DK159=12,DL166,IF(DK159=13,DL167,IF(DK159=14,DL168,IF(DK159=15,DL169,)))))),"")</f>
      </c>
      <c r="DM159" s="91" t="str">
        <f>IF(DJ159=1,DI164,IF(DJ159=2,DI165,IF(DJ159=3,DI166,IF(DJ159=4,DI167,IF(DJ159=5,DI168,IF(DJ159=6,DI169,IF(DJ159=7,DI170,IF(DJ159=8,DI171,DI172))))))))</f>
        <v>шесть </v>
      </c>
      <c r="DN159" s="62">
        <f>IF(AND(DK159&gt;15,DK159&lt;20),IF(DK159=16,DL170,IF(DK159=17,DL171,IF(DK159=18,DL172,IF(DK159=19,DL173,)))),"")</f>
      </c>
      <c r="DO159" s="90"/>
      <c r="DP159" s="89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</row>
    <row r="160" spans="43:139" s="60" customFormat="1" ht="12" customHeight="1">
      <c r="AQ160" s="149"/>
      <c r="AR160" s="149"/>
      <c r="AS160" s="149"/>
      <c r="AT160" s="149"/>
      <c r="AU160" s="149"/>
      <c r="AV160" s="149"/>
      <c r="DG160" s="61"/>
      <c r="DH160" s="61"/>
      <c r="DI160" s="92"/>
      <c r="DJ160" s="62"/>
      <c r="DK160" s="90"/>
      <c r="DL160" s="62"/>
      <c r="DM160" s="91">
        <f>DJ157*100+DJ158*10+DJ159</f>
        <v>776</v>
      </c>
      <c r="DN160" s="62" t="str">
        <f>IF(DM160+DM156+DM152+DM148=0,"ноль рублей ",IF(DK159=1,"рубль ",IF(OR(DK159=2,DK159=3,DK159=4),"рубля ","рублей ")))</f>
        <v>рублей </v>
      </c>
      <c r="DO160" s="90"/>
      <c r="DP160" s="89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</row>
    <row r="161" spans="43:139" s="60" customFormat="1" ht="12" customHeight="1">
      <c r="AQ161" s="149"/>
      <c r="AR161" s="149"/>
      <c r="AS161" s="149"/>
      <c r="AT161" s="149"/>
      <c r="AU161" s="149"/>
      <c r="AV161" s="149"/>
      <c r="DG161" s="61"/>
      <c r="DH161" s="61"/>
      <c r="DI161" s="90">
        <f>ROUND(100*(DM132-DM143),0)</f>
        <v>29</v>
      </c>
      <c r="DJ161" s="62"/>
      <c r="DK161" s="90">
        <f>TRUNC(DI161/10)</f>
        <v>2</v>
      </c>
      <c r="DL161" s="62"/>
      <c r="DM161" s="91" t="str">
        <f>IF(OR(DK161=1,DK161=0),"",IF(DK161=2,DM165,IF(DK161=3,DM166,IF(DK161=4,DM167,IF(DK161=5,DM168,IF(DK161=6,DM169,IF(DK161=7,DM170,IF(DK161=8,DM171,DM172))))))))</f>
        <v>двадцать </v>
      </c>
      <c r="DN161" s="62"/>
      <c r="DO161" s="62"/>
      <c r="DP161" s="89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</row>
    <row r="162" spans="43:139" s="60" customFormat="1" ht="12" customHeight="1">
      <c r="AQ162" s="149"/>
      <c r="AR162" s="149"/>
      <c r="AS162" s="149"/>
      <c r="AT162" s="149"/>
      <c r="AU162" s="149"/>
      <c r="AV162" s="149"/>
      <c r="DG162" s="61"/>
      <c r="DH162" s="61"/>
      <c r="DI162" s="62"/>
      <c r="DJ162" s="62"/>
      <c r="DK162" s="90">
        <f>TRUNC(DI161-DK161*10)</f>
        <v>9</v>
      </c>
      <c r="DL162" s="62"/>
      <c r="DM162" s="91" t="str">
        <f>IF(DK162=1,DJ164,IF(DK162=2,DJ165,IF(DK162=3,DI166,IF(DK162=4,DI167,IF(DK162=5,DI168,IF(DK162=6,DI169,IF(DK162=7,DI170,IF(DK162=8,DI171,DI172))))))))</f>
        <v>девять </v>
      </c>
      <c r="DN162" s="62"/>
      <c r="DO162" s="62"/>
      <c r="DP162" s="89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</row>
    <row r="163" spans="43:139" s="60" customFormat="1" ht="12" customHeight="1">
      <c r="AQ163" s="149"/>
      <c r="AR163" s="149"/>
      <c r="AS163" s="149"/>
      <c r="AT163" s="149"/>
      <c r="AU163" s="149"/>
      <c r="AV163" s="149"/>
      <c r="DG163" s="61"/>
      <c r="DH163" s="61"/>
      <c r="DI163" s="62"/>
      <c r="DJ163" s="62"/>
      <c r="DK163" s="62"/>
      <c r="DL163" s="62"/>
      <c r="DM163" s="62"/>
      <c r="DN163" s="62" t="s">
        <v>53</v>
      </c>
      <c r="DO163" s="62"/>
      <c r="DP163" s="89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</row>
    <row r="164" spans="43:139" s="60" customFormat="1" ht="12" customHeight="1">
      <c r="AQ164" s="149"/>
      <c r="AR164" s="149"/>
      <c r="AS164" s="149"/>
      <c r="AT164" s="149"/>
      <c r="AU164" s="149"/>
      <c r="AV164" s="149"/>
      <c r="DG164" s="61"/>
      <c r="DH164" s="61"/>
      <c r="DI164" s="62" t="s">
        <v>8</v>
      </c>
      <c r="DJ164" s="62" t="s">
        <v>9</v>
      </c>
      <c r="DK164" s="62"/>
      <c r="DL164" s="62" t="s">
        <v>10</v>
      </c>
      <c r="DM164" s="62"/>
      <c r="DN164" s="62"/>
      <c r="DO164" s="62"/>
      <c r="DP164" s="89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</row>
    <row r="165" spans="43:139" s="60" customFormat="1" ht="12" customHeight="1">
      <c r="AQ165" s="149"/>
      <c r="AR165" s="149"/>
      <c r="AS165" s="149"/>
      <c r="AT165" s="149"/>
      <c r="AU165" s="149"/>
      <c r="AV165" s="149"/>
      <c r="DG165" s="61"/>
      <c r="DH165" s="61"/>
      <c r="DI165" s="62" t="s">
        <v>11</v>
      </c>
      <c r="DJ165" s="62" t="s">
        <v>12</v>
      </c>
      <c r="DK165" s="62"/>
      <c r="DL165" s="62" t="s">
        <v>13</v>
      </c>
      <c r="DM165" s="62" t="s">
        <v>14</v>
      </c>
      <c r="DN165" s="62"/>
      <c r="DO165" s="62" t="s">
        <v>15</v>
      </c>
      <c r="DP165" s="89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</row>
    <row r="166" spans="43:139" s="60" customFormat="1" ht="12" customHeight="1">
      <c r="AQ166" s="149"/>
      <c r="AR166" s="149"/>
      <c r="AS166" s="149"/>
      <c r="AT166" s="149"/>
      <c r="AU166" s="149"/>
      <c r="AV166" s="149"/>
      <c r="DG166" s="61"/>
      <c r="DH166" s="61"/>
      <c r="DI166" s="62" t="s">
        <v>16</v>
      </c>
      <c r="DJ166" s="62"/>
      <c r="DK166" s="62"/>
      <c r="DL166" s="62" t="s">
        <v>17</v>
      </c>
      <c r="DM166" s="62" t="s">
        <v>18</v>
      </c>
      <c r="DN166" s="62"/>
      <c r="DO166" s="62" t="s">
        <v>19</v>
      </c>
      <c r="DP166" s="89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</row>
    <row r="167" spans="43:139" s="60" customFormat="1" ht="12" customHeight="1">
      <c r="AQ167" s="149"/>
      <c r="AR167" s="149"/>
      <c r="AS167" s="149"/>
      <c r="AT167" s="149"/>
      <c r="AU167" s="149"/>
      <c r="AV167" s="149"/>
      <c r="DG167" s="61"/>
      <c r="DH167" s="61"/>
      <c r="DI167" s="62" t="s">
        <v>20</v>
      </c>
      <c r="DJ167" s="62"/>
      <c r="DK167" s="62"/>
      <c r="DL167" s="62" t="s">
        <v>21</v>
      </c>
      <c r="DM167" s="62" t="s">
        <v>22</v>
      </c>
      <c r="DN167" s="62"/>
      <c r="DO167" s="62" t="s">
        <v>23</v>
      </c>
      <c r="DP167" s="89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</row>
    <row r="168" spans="43:139" s="60" customFormat="1" ht="12" customHeight="1">
      <c r="AQ168" s="149"/>
      <c r="AR168" s="149"/>
      <c r="AS168" s="149"/>
      <c r="AT168" s="149"/>
      <c r="AU168" s="149"/>
      <c r="AV168" s="149"/>
      <c r="DG168" s="61"/>
      <c r="DH168" s="61"/>
      <c r="DI168" s="62" t="s">
        <v>24</v>
      </c>
      <c r="DJ168" s="62"/>
      <c r="DK168" s="62"/>
      <c r="DL168" s="62" t="s">
        <v>25</v>
      </c>
      <c r="DM168" s="62" t="s">
        <v>26</v>
      </c>
      <c r="DN168" s="62"/>
      <c r="DO168" s="62" t="s">
        <v>27</v>
      </c>
      <c r="DP168" s="89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</row>
    <row r="169" spans="43:139" s="60" customFormat="1" ht="12" customHeight="1">
      <c r="AQ169" s="149"/>
      <c r="AR169" s="149"/>
      <c r="AS169" s="149"/>
      <c r="AT169" s="149"/>
      <c r="AU169" s="149"/>
      <c r="AV169" s="149"/>
      <c r="DG169" s="61"/>
      <c r="DH169" s="61"/>
      <c r="DI169" s="62" t="s">
        <v>28</v>
      </c>
      <c r="DJ169" s="62"/>
      <c r="DK169" s="62"/>
      <c r="DL169" s="62" t="s">
        <v>29</v>
      </c>
      <c r="DM169" s="62" t="s">
        <v>30</v>
      </c>
      <c r="DN169" s="62"/>
      <c r="DO169" s="62" t="s">
        <v>31</v>
      </c>
      <c r="DP169" s="89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</row>
    <row r="170" spans="43:139" s="60" customFormat="1" ht="12" customHeight="1">
      <c r="AQ170" s="149"/>
      <c r="AR170" s="149"/>
      <c r="AS170" s="149"/>
      <c r="AT170" s="149"/>
      <c r="AU170" s="149"/>
      <c r="AV170" s="149"/>
      <c r="DG170" s="61"/>
      <c r="DH170" s="61"/>
      <c r="DI170" s="62" t="s">
        <v>32</v>
      </c>
      <c r="DJ170" s="62"/>
      <c r="DK170" s="62"/>
      <c r="DL170" s="62" t="s">
        <v>33</v>
      </c>
      <c r="DM170" s="62" t="s">
        <v>34</v>
      </c>
      <c r="DN170" s="62"/>
      <c r="DO170" s="62" t="s">
        <v>35</v>
      </c>
      <c r="DP170" s="89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</row>
    <row r="171" spans="43:139" s="60" customFormat="1" ht="12" customHeight="1">
      <c r="AQ171" s="149"/>
      <c r="AR171" s="149"/>
      <c r="AS171" s="149"/>
      <c r="AT171" s="149"/>
      <c r="AU171" s="149"/>
      <c r="AV171" s="149"/>
      <c r="DG171" s="61"/>
      <c r="DH171" s="61"/>
      <c r="DI171" s="93" t="s">
        <v>36</v>
      </c>
      <c r="DJ171" s="62"/>
      <c r="DK171" s="62"/>
      <c r="DL171" s="62" t="s">
        <v>37</v>
      </c>
      <c r="DM171" s="62" t="s">
        <v>38</v>
      </c>
      <c r="DN171" s="62"/>
      <c r="DO171" s="62" t="s">
        <v>39</v>
      </c>
      <c r="DP171" s="89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</row>
    <row r="172" spans="43:139" s="60" customFormat="1" ht="12" customHeight="1">
      <c r="AQ172" s="149"/>
      <c r="AR172" s="149"/>
      <c r="AS172" s="149"/>
      <c r="AT172" s="149"/>
      <c r="AU172" s="149"/>
      <c r="AV172" s="149"/>
      <c r="DG172" s="61"/>
      <c r="DH172" s="61"/>
      <c r="DI172" s="62" t="s">
        <v>40</v>
      </c>
      <c r="DJ172" s="62"/>
      <c r="DK172" s="62"/>
      <c r="DL172" s="62" t="s">
        <v>41</v>
      </c>
      <c r="DM172" s="62" t="s">
        <v>42</v>
      </c>
      <c r="DN172" s="62"/>
      <c r="DO172" s="62" t="s">
        <v>43</v>
      </c>
      <c r="DP172" s="89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</row>
    <row r="173" spans="43:139" s="60" customFormat="1" ht="12" customHeight="1">
      <c r="AQ173" s="149"/>
      <c r="AR173" s="149"/>
      <c r="AS173" s="149"/>
      <c r="AT173" s="149"/>
      <c r="AU173" s="149"/>
      <c r="AV173" s="149"/>
      <c r="DG173" s="61"/>
      <c r="DH173" s="61"/>
      <c r="DI173" s="62"/>
      <c r="DJ173" s="62"/>
      <c r="DK173" s="62"/>
      <c r="DL173" s="62" t="s">
        <v>44</v>
      </c>
      <c r="DM173" s="62" t="s">
        <v>45</v>
      </c>
      <c r="DN173" s="62"/>
      <c r="DO173" s="62"/>
      <c r="DP173" s="89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</row>
    <row r="174" spans="43:139" s="60" customFormat="1" ht="12" customHeight="1">
      <c r="AQ174" s="149"/>
      <c r="AR174" s="149"/>
      <c r="AS174" s="149"/>
      <c r="AT174" s="149"/>
      <c r="AU174" s="149"/>
      <c r="AV174" s="149"/>
      <c r="DG174" s="61"/>
      <c r="DH174" s="61"/>
      <c r="DI174" s="94"/>
      <c r="DJ174" s="94"/>
      <c r="DK174" s="94"/>
      <c r="DL174" s="94"/>
      <c r="DM174" s="94"/>
      <c r="DN174" s="94"/>
      <c r="DO174" s="94"/>
      <c r="DP174" s="89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</row>
    <row r="175" spans="43:139" s="60" customFormat="1" ht="12" customHeight="1">
      <c r="AQ175" s="149"/>
      <c r="AR175" s="149"/>
      <c r="AS175" s="149"/>
      <c r="AT175" s="149"/>
      <c r="AU175" s="149"/>
      <c r="AV175" s="149"/>
      <c r="DG175" s="61"/>
      <c r="DH175" s="61"/>
      <c r="DI175" s="89"/>
      <c r="DJ175" s="94"/>
      <c r="DK175" s="94"/>
      <c r="DL175" s="94"/>
      <c r="DM175" s="94"/>
      <c r="DN175" s="94"/>
      <c r="DO175" s="94"/>
      <c r="DP175" s="94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</row>
    <row r="176" spans="111:112" ht="12" customHeight="1">
      <c r="DG176" s="41"/>
      <c r="DH176" s="41"/>
    </row>
    <row r="177" spans="111:112" ht="12" customHeight="1">
      <c r="DG177" s="41"/>
      <c r="DH177" s="41"/>
    </row>
    <row r="178" spans="111:112" ht="12" customHeight="1">
      <c r="DG178" s="41"/>
      <c r="DH178" s="41"/>
    </row>
    <row r="179" spans="111:112" ht="12" customHeight="1">
      <c r="DG179" s="41"/>
      <c r="DH179" s="41"/>
    </row>
    <row r="180" spans="111:112" ht="12" customHeight="1">
      <c r="DG180" s="41"/>
      <c r="DH180" s="41"/>
    </row>
    <row r="181" spans="111:112" ht="12" customHeight="1">
      <c r="DG181" s="41"/>
      <c r="DH181" s="41"/>
    </row>
    <row r="182" spans="111:112" ht="12" customHeight="1">
      <c r="DG182" s="41"/>
      <c r="DH182" s="41"/>
    </row>
    <row r="183" spans="111:112" ht="12" customHeight="1">
      <c r="DG183" s="41"/>
      <c r="DH183" s="41"/>
    </row>
    <row r="184" spans="111:112" ht="12" customHeight="1">
      <c r="DG184" s="41"/>
      <c r="DH184" s="41"/>
    </row>
    <row r="185" spans="111:112" ht="12" customHeight="1">
      <c r="DG185" s="41"/>
      <c r="DH185" s="41"/>
    </row>
    <row r="186" spans="111:112" ht="12" customHeight="1">
      <c r="DG186" s="41"/>
      <c r="DH186" s="41"/>
    </row>
    <row r="187" spans="111:112" ht="12" customHeight="1">
      <c r="DG187" s="41"/>
      <c r="DH187" s="41"/>
    </row>
    <row r="188" spans="111:112" ht="12" customHeight="1">
      <c r="DG188" s="41"/>
      <c r="DH188" s="41"/>
    </row>
    <row r="189" spans="111:112" ht="12" customHeight="1">
      <c r="DG189" s="41"/>
      <c r="DH189" s="41"/>
    </row>
    <row r="190" spans="111:112" ht="12" customHeight="1">
      <c r="DG190" s="41"/>
      <c r="DH190" s="41"/>
    </row>
    <row r="191" spans="111:112" ht="12" customHeight="1">
      <c r="DG191" s="41"/>
      <c r="DH191" s="41"/>
    </row>
    <row r="192" spans="111:112" ht="12" customHeight="1">
      <c r="DG192" s="41"/>
      <c r="DH192" s="41"/>
    </row>
    <row r="193" spans="111:112" ht="12" customHeight="1">
      <c r="DG193" s="41"/>
      <c r="DH193" s="41"/>
    </row>
    <row r="194" spans="111:112" ht="12" customHeight="1">
      <c r="DG194" s="41"/>
      <c r="DH194" s="41"/>
    </row>
    <row r="195" spans="111:112" ht="12" customHeight="1">
      <c r="DG195" s="41"/>
      <c r="DH195" s="41"/>
    </row>
    <row r="196" spans="111:112" ht="12" customHeight="1">
      <c r="DG196" s="41"/>
      <c r="DH196" s="41"/>
    </row>
    <row r="197" spans="111:112" ht="12" customHeight="1">
      <c r="DG197" s="41"/>
      <c r="DH197" s="41"/>
    </row>
    <row r="198" spans="111:112" ht="12" customHeight="1">
      <c r="DG198" s="41"/>
      <c r="DH198" s="41"/>
    </row>
    <row r="199" spans="111:112" ht="12" customHeight="1">
      <c r="DG199" s="41"/>
      <c r="DH199" s="41"/>
    </row>
    <row r="200" spans="111:112" ht="12" customHeight="1">
      <c r="DG200" s="41"/>
      <c r="DH200" s="41"/>
    </row>
    <row r="201" spans="111:112" ht="12" customHeight="1">
      <c r="DG201" s="41"/>
      <c r="DH201" s="41"/>
    </row>
    <row r="202" spans="111:112" ht="12" customHeight="1">
      <c r="DG202" s="41"/>
      <c r="DH202" s="41"/>
    </row>
    <row r="203" spans="111:112" ht="12" customHeight="1">
      <c r="DG203" s="41"/>
      <c r="DH203" s="41"/>
    </row>
    <row r="204" spans="111:112" ht="12" customHeight="1">
      <c r="DG204" s="41"/>
      <c r="DH204" s="41"/>
    </row>
    <row r="205" spans="111:112" ht="12" customHeight="1">
      <c r="DG205" s="41"/>
      <c r="DH205" s="41"/>
    </row>
    <row r="206" spans="111:112" ht="12" customHeight="1">
      <c r="DG206" s="41"/>
      <c r="DH206" s="41"/>
    </row>
    <row r="207" spans="111:112" ht="12" customHeight="1">
      <c r="DG207" s="41"/>
      <c r="DH207" s="41"/>
    </row>
    <row r="208" spans="111:112" ht="12" customHeight="1">
      <c r="DG208" s="41"/>
      <c r="DH208" s="41"/>
    </row>
    <row r="209" spans="111:112" ht="12" customHeight="1">
      <c r="DG209" s="41"/>
      <c r="DH209" s="41"/>
    </row>
    <row r="210" spans="111:112" ht="12" customHeight="1">
      <c r="DG210" s="41"/>
      <c r="DH210" s="41"/>
    </row>
    <row r="211" spans="111:112" ht="12" customHeight="1">
      <c r="DG211" s="41"/>
      <c r="DH211" s="41"/>
    </row>
    <row r="212" spans="111:112" ht="12" customHeight="1">
      <c r="DG212" s="41"/>
      <c r="DH212" s="41"/>
    </row>
    <row r="213" spans="111:112" ht="12" customHeight="1">
      <c r="DG213" s="41"/>
      <c r="DH213" s="41"/>
    </row>
    <row r="214" spans="111:112" ht="12" customHeight="1">
      <c r="DG214" s="41"/>
      <c r="DH214" s="41"/>
    </row>
    <row r="215" spans="111:112" ht="12" customHeight="1">
      <c r="DG215" s="41"/>
      <c r="DH215" s="41"/>
    </row>
    <row r="216" spans="111:112" ht="12" customHeight="1">
      <c r="DG216" s="41"/>
      <c r="DH216" s="41"/>
    </row>
    <row r="217" spans="111:112" ht="12" customHeight="1">
      <c r="DG217" s="41"/>
      <c r="DH217" s="41"/>
    </row>
    <row r="218" spans="111:112" ht="12" customHeight="1">
      <c r="DG218" s="41"/>
      <c r="DH218" s="41"/>
    </row>
    <row r="219" spans="111:112" ht="12" customHeight="1">
      <c r="DG219" s="41"/>
      <c r="DH219" s="41"/>
    </row>
    <row r="220" spans="111:112" ht="12" customHeight="1">
      <c r="DG220" s="41"/>
      <c r="DH220" s="41"/>
    </row>
    <row r="221" spans="111:112" ht="12" customHeight="1">
      <c r="DG221" s="41"/>
      <c r="DH221" s="41"/>
    </row>
    <row r="222" spans="111:112" ht="12" customHeight="1">
      <c r="DG222" s="41"/>
      <c r="DH222" s="41"/>
    </row>
    <row r="223" spans="111:112" ht="12" customHeight="1">
      <c r="DG223" s="41"/>
      <c r="DH223" s="41"/>
    </row>
    <row r="224" spans="111:112" ht="12" customHeight="1">
      <c r="DG224" s="41"/>
      <c r="DH224" s="41"/>
    </row>
    <row r="225" spans="111:112" ht="12" customHeight="1">
      <c r="DG225" s="41"/>
      <c r="DH225" s="41"/>
    </row>
    <row r="226" spans="111:112" ht="12" customHeight="1">
      <c r="DG226" s="41"/>
      <c r="DH226" s="41"/>
    </row>
    <row r="227" spans="111:112" ht="12" customHeight="1">
      <c r="DG227" s="41"/>
      <c r="DH227" s="41"/>
    </row>
    <row r="228" spans="111:112" ht="12" customHeight="1">
      <c r="DG228" s="41"/>
      <c r="DH228" s="41"/>
    </row>
    <row r="229" spans="111:112" ht="12" customHeight="1">
      <c r="DG229" s="41"/>
      <c r="DH229" s="41"/>
    </row>
    <row r="230" spans="111:112" ht="12" customHeight="1">
      <c r="DG230" s="41"/>
      <c r="DH230" s="41"/>
    </row>
    <row r="231" spans="111:112" ht="12" customHeight="1">
      <c r="DG231" s="41"/>
      <c r="DH231" s="41"/>
    </row>
    <row r="232" spans="111:112" ht="12" customHeight="1">
      <c r="DG232" s="41"/>
      <c r="DH232" s="41"/>
    </row>
    <row r="233" spans="111:112" ht="12" customHeight="1">
      <c r="DG233" s="41"/>
      <c r="DH233" s="41"/>
    </row>
    <row r="234" spans="111:112" ht="12" customHeight="1">
      <c r="DG234" s="41"/>
      <c r="DH234" s="41"/>
    </row>
    <row r="235" spans="111:112" ht="12" customHeight="1">
      <c r="DG235" s="41"/>
      <c r="DH235" s="41"/>
    </row>
    <row r="236" spans="111:112" ht="12" customHeight="1">
      <c r="DG236" s="41"/>
      <c r="DH236" s="41"/>
    </row>
    <row r="237" spans="111:112" ht="12" customHeight="1">
      <c r="DG237" s="41"/>
      <c r="DH237" s="41"/>
    </row>
    <row r="238" spans="111:112" ht="12" customHeight="1">
      <c r="DG238" s="41"/>
      <c r="DH238" s="41"/>
    </row>
  </sheetData>
  <sheetProtection formatCells="0" insertRows="0" deleteRows="0"/>
  <mergeCells count="158">
    <mergeCell ref="AF5:AK5"/>
    <mergeCell ref="X7:AE7"/>
    <mergeCell ref="G6:T6"/>
    <mergeCell ref="E7:T7"/>
    <mergeCell ref="AH36:AK36"/>
    <mergeCell ref="C37:L37"/>
    <mergeCell ref="M37:O37"/>
    <mergeCell ref="P37:R37"/>
    <mergeCell ref="S37:U37"/>
    <mergeCell ref="V37:Y37"/>
    <mergeCell ref="Z37:AC37"/>
    <mergeCell ref="AD37:AG37"/>
    <mergeCell ref="M36:O36"/>
    <mergeCell ref="P36:R36"/>
    <mergeCell ref="S36:U36"/>
    <mergeCell ref="V36:Y36"/>
    <mergeCell ref="Z36:AC36"/>
    <mergeCell ref="AD36:AG36"/>
    <mergeCell ref="M40:O40"/>
    <mergeCell ref="P40:R40"/>
    <mergeCell ref="S40:U40"/>
    <mergeCell ref="V40:Y40"/>
    <mergeCell ref="Z40:AC40"/>
    <mergeCell ref="AD40:AG40"/>
    <mergeCell ref="M38:O38"/>
    <mergeCell ref="P38:R38"/>
    <mergeCell ref="S38:U38"/>
    <mergeCell ref="V38:Y38"/>
    <mergeCell ref="M39:O39"/>
    <mergeCell ref="P39:R39"/>
    <mergeCell ref="S39:U39"/>
    <mergeCell ref="V39:Y39"/>
    <mergeCell ref="Z56:AI56"/>
    <mergeCell ref="C45:L45"/>
    <mergeCell ref="C46:L46"/>
    <mergeCell ref="C47:U47"/>
    <mergeCell ref="H56:Q56"/>
    <mergeCell ref="M45:O45"/>
    <mergeCell ref="M46:O46"/>
    <mergeCell ref="P45:R45"/>
    <mergeCell ref="P46:R46"/>
    <mergeCell ref="C53:G53"/>
    <mergeCell ref="C33:L33"/>
    <mergeCell ref="C34:L34"/>
    <mergeCell ref="C35:L35"/>
    <mergeCell ref="C41:L41"/>
    <mergeCell ref="C38:L38"/>
    <mergeCell ref="C39:L39"/>
    <mergeCell ref="C36:L36"/>
    <mergeCell ref="C40:L40"/>
    <mergeCell ref="I20:AK20"/>
    <mergeCell ref="C21:AK21"/>
    <mergeCell ref="I23:AK23"/>
    <mergeCell ref="L25:AK25"/>
    <mergeCell ref="G27:AK27"/>
    <mergeCell ref="C30:L32"/>
    <mergeCell ref="C14:T14"/>
    <mergeCell ref="V14:AK16"/>
    <mergeCell ref="H15:T15"/>
    <mergeCell ref="C16:U16"/>
    <mergeCell ref="J18:AK18"/>
    <mergeCell ref="C19:AK19"/>
    <mergeCell ref="E10:T10"/>
    <mergeCell ref="AF10:AK10"/>
    <mergeCell ref="C11:U11"/>
    <mergeCell ref="V12:Z13"/>
    <mergeCell ref="AA12:AE13"/>
    <mergeCell ref="AF12:AK13"/>
    <mergeCell ref="I13:T13"/>
    <mergeCell ref="C8:T8"/>
    <mergeCell ref="B1:AL1"/>
    <mergeCell ref="M30:O32"/>
    <mergeCell ref="AH30:AK32"/>
    <mergeCell ref="P30:R32"/>
    <mergeCell ref="AD30:AG32"/>
    <mergeCell ref="Z30:AC32"/>
    <mergeCell ref="V30:Y32"/>
    <mergeCell ref="S30:U32"/>
    <mergeCell ref="G9:T9"/>
    <mergeCell ref="M33:O33"/>
    <mergeCell ref="M34:O34"/>
    <mergeCell ref="M35:O35"/>
    <mergeCell ref="C43:L43"/>
    <mergeCell ref="C44:L44"/>
    <mergeCell ref="M41:O41"/>
    <mergeCell ref="M42:O42"/>
    <mergeCell ref="M43:O43"/>
    <mergeCell ref="M44:O44"/>
    <mergeCell ref="C42:L42"/>
    <mergeCell ref="P42:R42"/>
    <mergeCell ref="P43:R43"/>
    <mergeCell ref="S41:U41"/>
    <mergeCell ref="S42:U42"/>
    <mergeCell ref="P33:R33"/>
    <mergeCell ref="P34:R34"/>
    <mergeCell ref="P35:R35"/>
    <mergeCell ref="V46:Y46"/>
    <mergeCell ref="V33:Y33"/>
    <mergeCell ref="V34:Y34"/>
    <mergeCell ref="V35:Y35"/>
    <mergeCell ref="V41:Y41"/>
    <mergeCell ref="P44:R44"/>
    <mergeCell ref="S33:U33"/>
    <mergeCell ref="S34:U34"/>
    <mergeCell ref="S35:U35"/>
    <mergeCell ref="P41:R41"/>
    <mergeCell ref="Z42:AC42"/>
    <mergeCell ref="V42:Y42"/>
    <mergeCell ref="V43:Y43"/>
    <mergeCell ref="V44:Y44"/>
    <mergeCell ref="V47:Y47"/>
    <mergeCell ref="S43:U43"/>
    <mergeCell ref="S44:U44"/>
    <mergeCell ref="S45:U45"/>
    <mergeCell ref="S46:U46"/>
    <mergeCell ref="V45:Y45"/>
    <mergeCell ref="Z33:AC33"/>
    <mergeCell ref="Z34:AC34"/>
    <mergeCell ref="Z35:AC35"/>
    <mergeCell ref="Z41:AC41"/>
    <mergeCell ref="AD33:AG33"/>
    <mergeCell ref="AD34:AG34"/>
    <mergeCell ref="AD35:AG35"/>
    <mergeCell ref="Z38:AC38"/>
    <mergeCell ref="AD38:AG38"/>
    <mergeCell ref="Z39:AC39"/>
    <mergeCell ref="AD46:AG46"/>
    <mergeCell ref="AD47:AG47"/>
    <mergeCell ref="Z43:AC43"/>
    <mergeCell ref="Z44:AC44"/>
    <mergeCell ref="Z45:AC45"/>
    <mergeCell ref="Z46:AC46"/>
    <mergeCell ref="Z47:AC47"/>
    <mergeCell ref="AH40:AK40"/>
    <mergeCell ref="AH37:AK37"/>
    <mergeCell ref="AD42:AG42"/>
    <mergeCell ref="AD43:AG43"/>
    <mergeCell ref="AD44:AG44"/>
    <mergeCell ref="AD45:AG45"/>
    <mergeCell ref="AD41:AG41"/>
    <mergeCell ref="AD39:AG39"/>
    <mergeCell ref="AH39:AK39"/>
    <mergeCell ref="H53:AJ53"/>
    <mergeCell ref="H54:AJ54"/>
    <mergeCell ref="J51:AJ51"/>
    <mergeCell ref="J52:AJ52"/>
    <mergeCell ref="C51:I51"/>
    <mergeCell ref="AH33:AK33"/>
    <mergeCell ref="AH34:AK34"/>
    <mergeCell ref="AH35:AK35"/>
    <mergeCell ref="AH42:AK42"/>
    <mergeCell ref="AH38:AK38"/>
    <mergeCell ref="AH45:AK45"/>
    <mergeCell ref="AH46:AK46"/>
    <mergeCell ref="AH47:AK47"/>
    <mergeCell ref="AH41:AK41"/>
    <mergeCell ref="AH43:AK43"/>
    <mergeCell ref="AH44:AK44"/>
  </mergeCells>
  <printOptions horizontalCentered="1"/>
  <pageMargins left="0.6299212598425197" right="0.3937007874015748" top="0.2362204724409449" bottom="0.31496062992125984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3:AX123"/>
  <sheetViews>
    <sheetView zoomScalePageLayoutView="0" workbookViewId="0" topLeftCell="A1">
      <selection activeCell="A1" sqref="A1"/>
    </sheetView>
  </sheetViews>
  <sheetFormatPr defaultColWidth="9.00390625" defaultRowHeight="12.75"/>
  <cols>
    <col min="10" max="10" width="10.625" style="0" customWidth="1"/>
  </cols>
  <sheetData>
    <row r="49" s="130" customFormat="1" ht="12" customHeight="1" hidden="1"/>
    <row r="50" s="131" customFormat="1" ht="12" customHeight="1" hidden="1"/>
    <row r="51" s="131" customFormat="1" ht="12" customHeight="1" hidden="1"/>
    <row r="52" s="131" customFormat="1" ht="12" customHeight="1" hidden="1"/>
    <row r="53" s="131" customFormat="1" ht="12" customHeight="1" hidden="1">
      <c r="I53" s="132"/>
    </row>
    <row r="54" spans="4:48" s="133" customFormat="1" ht="12" customHeight="1" hidden="1">
      <c r="D54" s="133">
        <f>IF(D57&lt;=D58,"",MID(I71,D55+1,90))</f>
      </c>
      <c r="I54" s="134">
        <f>INT(J54)</f>
        <v>4776</v>
      </c>
      <c r="J54" s="134">
        <f>'Счет-фактура'!AH47</f>
        <v>4776.29</v>
      </c>
      <c r="P54" s="133">
        <f>IF(P57&lt;=P58,"",MID(U71,P55+1,90))</f>
      </c>
      <c r="U54" s="135">
        <f>INT(V54)</f>
        <v>4776</v>
      </c>
      <c r="V54" s="135">
        <f>'Счет-фактура'!AH47</f>
        <v>4776.29</v>
      </c>
      <c r="AC54" s="133">
        <f>IF(AC57&lt;=AC58,"",MID(AH71,AC55+1,90))</f>
      </c>
      <c r="AH54" s="134">
        <f>INT(AI54)</f>
        <v>4776</v>
      </c>
      <c r="AI54" s="134">
        <f>'Счет-фактура'!AH47</f>
        <v>4776.29</v>
      </c>
      <c r="AP54" s="133">
        <f>IF(AP57&lt;=AP58,"",MID(AU71,AP55+1,90))</f>
      </c>
      <c r="AU54" s="134">
        <f>INT(AV54)</f>
        <v>4776</v>
      </c>
      <c r="AV54" s="134">
        <f>'Счет-фактура'!AH47</f>
        <v>4776.29</v>
      </c>
    </row>
    <row r="55" spans="4:48" s="133" customFormat="1" ht="12" customHeight="1" hidden="1">
      <c r="D55" s="133" t="e">
        <f>FIND(" ",I71,80)</f>
        <v>#VALUE!</v>
      </c>
      <c r="H55" s="133">
        <v>1</v>
      </c>
      <c r="I55" s="136">
        <f>I54-INT(I54/10)*10</f>
        <v>6</v>
      </c>
      <c r="J55" s="135">
        <f>ROUND((J54-I54)*100,0)</f>
        <v>29</v>
      </c>
      <c r="P55" s="133" t="e">
        <f>FIND(" ",U71,80)</f>
        <v>#VALUE!</v>
      </c>
      <c r="T55" s="133">
        <v>1</v>
      </c>
      <c r="U55" s="136">
        <f>U54-INT(U54/10)*10</f>
        <v>6</v>
      </c>
      <c r="V55" s="135">
        <f>ROUND((V54-U54)*100,0)</f>
        <v>29</v>
      </c>
      <c r="AC55" s="133" t="e">
        <f>FIND(" ",AH71,80)</f>
        <v>#VALUE!</v>
      </c>
      <c r="AG55" s="133">
        <v>1</v>
      </c>
      <c r="AH55" s="136">
        <f>AH54-INT(AH54/10)*10</f>
        <v>6</v>
      </c>
      <c r="AI55" s="135">
        <f>ROUND((AI54-AH54)*100,0)</f>
        <v>29</v>
      </c>
      <c r="AP55" s="133" t="e">
        <f>FIND(" ",AU71,80)</f>
        <v>#VALUE!</v>
      </c>
      <c r="AT55" s="133">
        <v>1</v>
      </c>
      <c r="AU55" s="136">
        <f>AU54-INT(AU54/10)*10</f>
        <v>6</v>
      </c>
      <c r="AV55" s="135">
        <f>ROUND((AV54-AU54)*100,0)</f>
        <v>29</v>
      </c>
    </row>
    <row r="56" spans="4:48" s="133" customFormat="1" ht="12" customHeight="1" hidden="1">
      <c r="D56" s="133" t="str">
        <f>IF(D57&gt;D58,LEFT(I71,D55-1),LEFT(I71,90))</f>
        <v> Четыре тысячи семьсот семьдесят шесть белорусских рублей 29 копеек</v>
      </c>
      <c r="H56" s="133">
        <v>2</v>
      </c>
      <c r="I56" s="137">
        <f>IF(AND(I55+I57&gt;=11,I55+I57&lt;=19),I55+I57,0)</f>
        <v>0</v>
      </c>
      <c r="J56" s="137">
        <f>INT(J55)</f>
        <v>29</v>
      </c>
      <c r="P56" s="133" t="str">
        <f>IF(P57&gt;P58,LEFT(U71,P55-1),LEFT(U71,90))</f>
        <v> Четыре тысячи семьсот семьдесят шесть российских рублей 29 копеек</v>
      </c>
      <c r="T56" s="133">
        <v>2</v>
      </c>
      <c r="U56" s="137">
        <f>IF(AND(U55+U57&gt;=11,U55+U57&lt;=19),U55+U57,0)</f>
        <v>0</v>
      </c>
      <c r="V56" s="137">
        <f>INT(V55)</f>
        <v>29</v>
      </c>
      <c r="AC56" s="133" t="str">
        <f>IF(AC57&gt;AC58,LEFT(AH71,AC55-1),LEFT(AH71,90))</f>
        <v> Четыре тысячи семьсот семьдесят шесть долларов 29 центов</v>
      </c>
      <c r="AG56" s="133">
        <v>2</v>
      </c>
      <c r="AH56" s="137">
        <f>IF(AND(AH55+AH57&gt;=11,AH55+AH57&lt;=19),AH55+AH57,0)</f>
        <v>0</v>
      </c>
      <c r="AI56" s="137">
        <f>INT(AI55)</f>
        <v>29</v>
      </c>
      <c r="AP56" s="133" t="str">
        <f>IF(AP57&gt;AP58,LEFT(AU71,AP55-1),LEFT(AU71,90))</f>
        <v> Четыре тысячи семьсот семьдесят шесть евро 29 евроцентов</v>
      </c>
      <c r="AT56" s="133">
        <v>2</v>
      </c>
      <c r="AU56" s="137">
        <f>IF(AND(AU55+AU57&gt;=11,AU55+AU57&lt;=19),AU55+AU57,0)</f>
        <v>0</v>
      </c>
      <c r="AV56" s="137">
        <f>INT(AV55)</f>
        <v>29</v>
      </c>
    </row>
    <row r="57" spans="4:48" s="133" customFormat="1" ht="12" customHeight="1" hidden="1">
      <c r="D57" s="133">
        <f>LEN(I71)</f>
        <v>67</v>
      </c>
      <c r="H57" s="133">
        <v>3</v>
      </c>
      <c r="I57" s="137">
        <f>I54-INT(I54/100)*100-I55</f>
        <v>70</v>
      </c>
      <c r="J57" s="137">
        <f>IF(J56=0,"",J56-INT(J56/10)*10)</f>
        <v>9</v>
      </c>
      <c r="P57" s="133">
        <f>LEN(U71)</f>
        <v>66</v>
      </c>
      <c r="T57" s="133">
        <v>3</v>
      </c>
      <c r="U57" s="137">
        <f>U54-INT(U54/100)*100-U55</f>
        <v>70</v>
      </c>
      <c r="V57" s="137">
        <f>IF(V56=0,"",V56-INT(V56/10)*10)</f>
        <v>9</v>
      </c>
      <c r="AC57" s="133">
        <f>LEN(AH71)</f>
        <v>57</v>
      </c>
      <c r="AG57" s="133">
        <v>3</v>
      </c>
      <c r="AH57" s="137">
        <f>AH54-INT(AH54/100)*100-AH55</f>
        <v>70</v>
      </c>
      <c r="AI57" s="137">
        <f>IF(AI56=0,"",AI56-INT(AI56/10)*10)</f>
        <v>9</v>
      </c>
      <c r="AP57" s="133">
        <f>LEN(AU71)</f>
        <v>57</v>
      </c>
      <c r="AT57" s="133">
        <v>3</v>
      </c>
      <c r="AU57" s="137">
        <f>AU54-INT(AU54/100)*100-AU55</f>
        <v>70</v>
      </c>
      <c r="AV57" s="137">
        <f>IF(AV56=0,"",AV56-INT(AV56/10)*10)</f>
        <v>9</v>
      </c>
    </row>
    <row r="58" spans="4:50" s="133" customFormat="1" ht="12" customHeight="1" hidden="1">
      <c r="D58" s="133">
        <v>90</v>
      </c>
      <c r="H58" s="133">
        <v>4</v>
      </c>
      <c r="I58" s="137">
        <f>I54-INT(I54/1000)*1000-I57-I55</f>
        <v>700</v>
      </c>
      <c r="J58" s="138">
        <f>IF(J56=0,"",J56)</f>
        <v>29</v>
      </c>
      <c r="K58" s="133">
        <v>0</v>
      </c>
      <c r="L58" s="133" t="s">
        <v>79</v>
      </c>
      <c r="P58" s="133">
        <v>90</v>
      </c>
      <c r="T58" s="133">
        <v>4</v>
      </c>
      <c r="U58" s="137">
        <f>U54-INT(U54/1000)*1000-U57-U55</f>
        <v>700</v>
      </c>
      <c r="V58" s="138">
        <f>IF(V56=0,"",V56)</f>
        <v>29</v>
      </c>
      <c r="W58" s="133">
        <v>0</v>
      </c>
      <c r="X58" s="133" t="s">
        <v>79</v>
      </c>
      <c r="AC58" s="133">
        <v>90</v>
      </c>
      <c r="AG58" s="133">
        <v>4</v>
      </c>
      <c r="AH58" s="137">
        <f>AH54-INT(AH54/1000)*1000-AH57-AH55</f>
        <v>700</v>
      </c>
      <c r="AI58" s="138">
        <f>IF(AI56=0,"",AI56)</f>
        <v>29</v>
      </c>
      <c r="AJ58" s="133">
        <v>0</v>
      </c>
      <c r="AK58" s="133" t="s">
        <v>79</v>
      </c>
      <c r="AP58" s="133">
        <v>90</v>
      </c>
      <c r="AT58" s="133">
        <v>4</v>
      </c>
      <c r="AU58" s="137">
        <f>AU54-INT(AU54/1000)*1000-AU57-AU55</f>
        <v>700</v>
      </c>
      <c r="AV58" s="138">
        <f>IF(AV56=0,"",AV56)</f>
        <v>29</v>
      </c>
      <c r="AW58" s="133">
        <v>0</v>
      </c>
      <c r="AX58" s="133" t="s">
        <v>79</v>
      </c>
    </row>
    <row r="59" spans="8:48" s="133" customFormat="1" ht="12" customHeight="1" hidden="1">
      <c r="H59" s="133">
        <v>5</v>
      </c>
      <c r="I59" s="137">
        <f>I54-INT(I54/10000)*10000-I57-I55-I58</f>
        <v>4000</v>
      </c>
      <c r="J59" s="133">
        <f>I59/1000</f>
        <v>4</v>
      </c>
      <c r="T59" s="133">
        <v>5</v>
      </c>
      <c r="U59" s="137">
        <f>U54-INT(U54/10000)*10000-U57-U55-U58</f>
        <v>4000</v>
      </c>
      <c r="V59" s="133">
        <f>U59/1000</f>
        <v>4</v>
      </c>
      <c r="AG59" s="133">
        <v>5</v>
      </c>
      <c r="AH59" s="137">
        <f>AH54-INT(AH54/10000)*10000-AH57-AH55-AH58</f>
        <v>4000</v>
      </c>
      <c r="AI59" s="133">
        <f>AH59/1000</f>
        <v>4</v>
      </c>
      <c r="AT59" s="133">
        <v>5</v>
      </c>
      <c r="AU59" s="137">
        <f>AU54-INT(AU54/10000)*10000-AU57-AU55-AU58</f>
        <v>4000</v>
      </c>
      <c r="AV59" s="133">
        <f>AU59/1000</f>
        <v>4</v>
      </c>
    </row>
    <row r="60" spans="8:48" s="133" customFormat="1" ht="12" customHeight="1" hidden="1">
      <c r="H60" s="133">
        <v>6</v>
      </c>
      <c r="J60" s="137">
        <f>IF(AND(J59+J61&gt;=11,J59+J61&lt;=19),J59+J61,0)</f>
        <v>0</v>
      </c>
      <c r="T60" s="133">
        <v>6</v>
      </c>
      <c r="V60" s="137">
        <f>IF(AND(V59+V61&gt;=11,V59+V61&lt;=19),V59+V61,0)</f>
        <v>0</v>
      </c>
      <c r="AG60" s="133">
        <v>6</v>
      </c>
      <c r="AI60" s="137">
        <f>IF(AND(AI59+AI61&gt;=11,AI59+AI61&lt;=19),AI59+AI61,0)</f>
        <v>0</v>
      </c>
      <c r="AT60" s="133">
        <v>6</v>
      </c>
      <c r="AV60" s="137">
        <f>IF(AND(AV59+AV61&gt;=11,AV59+AV61&lt;=19),AV59+AV61,0)</f>
        <v>0</v>
      </c>
    </row>
    <row r="61" spans="8:48" s="133" customFormat="1" ht="12" customHeight="1" hidden="1">
      <c r="H61" s="133">
        <v>7</v>
      </c>
      <c r="I61" s="137">
        <f>I54-INT(I54/100000)*100000-I57-I55-I58-I59</f>
        <v>0</v>
      </c>
      <c r="J61" s="133">
        <f>I61/1000</f>
        <v>0</v>
      </c>
      <c r="T61" s="133">
        <v>7</v>
      </c>
      <c r="U61" s="137">
        <f>U54-INT(U54/100000)*100000-U57-U55-U58-U59</f>
        <v>0</v>
      </c>
      <c r="V61" s="133">
        <f>U61/1000</f>
        <v>0</v>
      </c>
      <c r="AG61" s="133">
        <v>7</v>
      </c>
      <c r="AH61" s="137">
        <f>AH54-INT(AH54/100000)*100000-AH57-AH55-AH58-AH59</f>
        <v>0</v>
      </c>
      <c r="AI61" s="133">
        <f>AH61/1000</f>
        <v>0</v>
      </c>
      <c r="AT61" s="133">
        <v>7</v>
      </c>
      <c r="AU61" s="137">
        <f>AU54-INT(AU54/100000)*100000-AU57-AU55-AU58-AU59</f>
        <v>0</v>
      </c>
      <c r="AV61" s="133">
        <f>AU61/1000</f>
        <v>0</v>
      </c>
    </row>
    <row r="62" spans="8:48" s="133" customFormat="1" ht="12" customHeight="1" hidden="1">
      <c r="H62" s="133">
        <v>8</v>
      </c>
      <c r="I62" s="137">
        <f>I54-INT(I54/1000000)*1000000-I57-I55-I58-I59-I61</f>
        <v>0</v>
      </c>
      <c r="J62" s="133">
        <f>I62/1000</f>
        <v>0</v>
      </c>
      <c r="T62" s="133">
        <v>8</v>
      </c>
      <c r="U62" s="137">
        <f>U54-INT(U54/1000000)*1000000-U57-U55-U58-U59-U61</f>
        <v>0</v>
      </c>
      <c r="V62" s="133">
        <f>U62/1000</f>
        <v>0</v>
      </c>
      <c r="AG62" s="133">
        <v>8</v>
      </c>
      <c r="AH62" s="137">
        <f>AH54-INT(AH54/1000000)*1000000-AH57-AH55-AH58-AH59-AH61</f>
        <v>0</v>
      </c>
      <c r="AI62" s="133">
        <f>AH62/1000</f>
        <v>0</v>
      </c>
      <c r="AT62" s="133">
        <v>8</v>
      </c>
      <c r="AU62" s="137">
        <f>AU54-INT(AU54/1000000)*1000000-AU57-AU55-AU58-AU59-AU61</f>
        <v>0</v>
      </c>
      <c r="AV62" s="133">
        <f>AU62/1000</f>
        <v>0</v>
      </c>
    </row>
    <row r="63" spans="8:48" s="133" customFormat="1" ht="12" customHeight="1" hidden="1">
      <c r="H63" s="133">
        <v>9</v>
      </c>
      <c r="I63" s="137">
        <f>I54-INT(I54/10000000)*10000000-I57-I55-I58-I59-I61-I62</f>
        <v>0</v>
      </c>
      <c r="J63" s="133">
        <f>I63/1000000</f>
        <v>0</v>
      </c>
      <c r="T63" s="133">
        <v>9</v>
      </c>
      <c r="U63" s="137">
        <f>U54-INT(U54/10000000)*10000000-U57-U55-U58-U59-U61-U62</f>
        <v>0</v>
      </c>
      <c r="V63" s="133">
        <f>U63/1000000</f>
        <v>0</v>
      </c>
      <c r="AG63" s="133">
        <v>9</v>
      </c>
      <c r="AH63" s="137">
        <f>AH54-INT(AH54/10000000)*10000000-AH57-AH55-AH58-AH59-AH61-AH62</f>
        <v>0</v>
      </c>
      <c r="AI63" s="133">
        <f>AH63/1000000</f>
        <v>0</v>
      </c>
      <c r="AT63" s="133">
        <v>9</v>
      </c>
      <c r="AU63" s="137">
        <f>AU54-INT(AU54/10000000)*10000000-AU57-AU55-AU58-AU59-AU61-AU62</f>
        <v>0</v>
      </c>
      <c r="AV63" s="133">
        <f>AU63/1000000</f>
        <v>0</v>
      </c>
    </row>
    <row r="64" spans="8:48" s="133" customFormat="1" ht="12" customHeight="1" hidden="1">
      <c r="H64" s="133">
        <v>10</v>
      </c>
      <c r="J64" s="137">
        <f>IF(AND(J63+J65&gt;=11,J63+J65&lt;=19),J63+J65,0)</f>
        <v>0</v>
      </c>
      <c r="T64" s="133">
        <v>10</v>
      </c>
      <c r="V64" s="137">
        <f>IF(AND(V63+V65&gt;=11,V63+V65&lt;=19),V63+V65,0)</f>
        <v>0</v>
      </c>
      <c r="AG64" s="133">
        <v>10</v>
      </c>
      <c r="AI64" s="137">
        <f>IF(AND(AI63+AI65&gt;=11,AI63+AI65&lt;=19),AI63+AI65,0)</f>
        <v>0</v>
      </c>
      <c r="AT64" s="133">
        <v>10</v>
      </c>
      <c r="AV64" s="137">
        <f>IF(AND(AV63+AV65&gt;=11,AV63+AV65&lt;=19),AV63+AV65,0)</f>
        <v>0</v>
      </c>
    </row>
    <row r="65" spans="8:48" s="133" customFormat="1" ht="12" customHeight="1" hidden="1">
      <c r="H65" s="133">
        <v>11</v>
      </c>
      <c r="I65" s="137">
        <f>I54-INT(I54/100000000)*100000000-I57-I55-I58-I59-I61-I62-I63</f>
        <v>0</v>
      </c>
      <c r="J65" s="133">
        <f>I65/1000000</f>
        <v>0</v>
      </c>
      <c r="T65" s="133">
        <v>11</v>
      </c>
      <c r="U65" s="137">
        <f>U54-INT(U54/100000000)*100000000-U57-U55-U58-U59-U61-U62-U63</f>
        <v>0</v>
      </c>
      <c r="V65" s="133">
        <f>U65/1000000</f>
        <v>0</v>
      </c>
      <c r="AG65" s="133">
        <v>11</v>
      </c>
      <c r="AH65" s="137">
        <f>AH54-INT(AH54/100000000)*100000000-AH57-AH55-AH58-AH59-AH61-AH62-AH63</f>
        <v>0</v>
      </c>
      <c r="AI65" s="133">
        <f>AH65/1000000</f>
        <v>0</v>
      </c>
      <c r="AT65" s="133">
        <v>11</v>
      </c>
      <c r="AU65" s="137">
        <f>AU54-INT(AU54/100000000)*100000000-AU57-AU55-AU58-AU59-AU61-AU62-AU63</f>
        <v>0</v>
      </c>
      <c r="AV65" s="133">
        <f>AU65/1000000</f>
        <v>0</v>
      </c>
    </row>
    <row r="66" spans="8:48" s="133" customFormat="1" ht="12" customHeight="1" hidden="1">
      <c r="H66" s="133">
        <v>12</v>
      </c>
      <c r="I66" s="137">
        <f>I54-INT(I54/1000000000)*1000000000-I57-I55-I58-I59-I61-I62-I63-I65</f>
        <v>0</v>
      </c>
      <c r="J66" s="133">
        <f>I66/1000000</f>
        <v>0</v>
      </c>
      <c r="T66" s="133">
        <v>12</v>
      </c>
      <c r="U66" s="137">
        <f>U54-INT(U54/1000000000)*1000000000-U57-U55-U58-U59-U61-U62-U63-U65</f>
        <v>0</v>
      </c>
      <c r="V66" s="133">
        <f>U66/1000000</f>
        <v>0</v>
      </c>
      <c r="AG66" s="133">
        <v>12</v>
      </c>
      <c r="AH66" s="137">
        <f>AH54-INT(AH54/1000000000)*1000000000-AH57-AH55-AH58-AH59-AH61-AH62-AH63-AH65</f>
        <v>0</v>
      </c>
      <c r="AI66" s="133">
        <f>AH66/1000000</f>
        <v>0</v>
      </c>
      <c r="AT66" s="133">
        <v>12</v>
      </c>
      <c r="AU66" s="137">
        <f>AU54-INT(AU54/1000000000)*1000000000-AU57-AU55-AU58-AU59-AU61-AU62-AU63-AU65</f>
        <v>0</v>
      </c>
      <c r="AV66" s="133">
        <f>AU66/1000000</f>
        <v>0</v>
      </c>
    </row>
    <row r="67" spans="8:48" s="133" customFormat="1" ht="12" customHeight="1" hidden="1">
      <c r="H67" s="133">
        <v>13</v>
      </c>
      <c r="I67" s="137">
        <f>I54-INT(I54/10000000000)*10000000000-I57-I55-I58-I59-I61-I62-I63-I65-I66</f>
        <v>0</v>
      </c>
      <c r="J67" s="133">
        <f>I67/1000000000</f>
        <v>0</v>
      </c>
      <c r="T67" s="133">
        <v>13</v>
      </c>
      <c r="U67" s="137">
        <f>U54-INT(U54/10000000000)*10000000000-U57-U55-U58-U59-U61-U62-U63-U65-U66</f>
        <v>0</v>
      </c>
      <c r="V67" s="133">
        <f>U67/1000000000</f>
        <v>0</v>
      </c>
      <c r="AG67" s="133">
        <v>13</v>
      </c>
      <c r="AH67" s="137">
        <f>AH54-INT(AH54/10000000000)*10000000000-AH57-AH55-AH58-AH59-AH61-AH62-AH63-AH65-AH66</f>
        <v>0</v>
      </c>
      <c r="AI67" s="133">
        <f>AH67/1000000000</f>
        <v>0</v>
      </c>
      <c r="AT67" s="133">
        <v>13</v>
      </c>
      <c r="AU67" s="137">
        <f>AU54-INT(AU54/10000000000)*10000000000-AU57-AU55-AU58-AU59-AU61-AU62-AU63-AU65-AU66</f>
        <v>0</v>
      </c>
      <c r="AV67" s="133">
        <f>AU67/1000000000</f>
        <v>0</v>
      </c>
    </row>
    <row r="68" spans="8:48" s="133" customFormat="1" ht="12" customHeight="1" hidden="1">
      <c r="H68" s="133">
        <v>14</v>
      </c>
      <c r="I68" s="137"/>
      <c r="J68" s="137">
        <f>IF(AND(J67+J69&gt;=11,J67+J69&lt;=19),J67+J69,0)</f>
        <v>0</v>
      </c>
      <c r="T68" s="133">
        <v>14</v>
      </c>
      <c r="U68" s="137"/>
      <c r="V68" s="137">
        <f>IF(AND(V67+V69&gt;=11,V67+V69&lt;=19),V67+V69,0)</f>
        <v>0</v>
      </c>
      <c r="AG68" s="133">
        <v>14</v>
      </c>
      <c r="AH68" s="137"/>
      <c r="AI68" s="137">
        <f>IF(AND(AI67+AI69&gt;=11,AI67+AI69&lt;=19),AI67+AI69,0)</f>
        <v>0</v>
      </c>
      <c r="AT68" s="133">
        <v>14</v>
      </c>
      <c r="AU68" s="137"/>
      <c r="AV68" s="137">
        <f>IF(AND(AV67+AV69&gt;=11,AV67+AV69&lt;=19),AV67+AV69,0)</f>
        <v>0</v>
      </c>
    </row>
    <row r="69" spans="8:48" s="133" customFormat="1" ht="12" customHeight="1" hidden="1">
      <c r="H69" s="133">
        <v>15</v>
      </c>
      <c r="I69" s="137">
        <f>I54-INT(I54/100000000000)*100000000000-I57-I55-I58-I59-I61-I62-I63-I65-I66-I67</f>
        <v>0</v>
      </c>
      <c r="J69" s="133">
        <f>I69/1000000000</f>
        <v>0</v>
      </c>
      <c r="T69" s="133">
        <v>15</v>
      </c>
      <c r="U69" s="137">
        <f>U54-INT(U54/100000000000)*100000000000-U57-U55-U58-U59-U61-U62-U63-U65-U66-U67</f>
        <v>0</v>
      </c>
      <c r="V69" s="133">
        <f>U69/1000000000</f>
        <v>0</v>
      </c>
      <c r="AG69" s="133">
        <v>15</v>
      </c>
      <c r="AH69" s="137">
        <f>AH54-INT(AH54/100000000000)*100000000000-AH57-AH55-AH58-AH59-AH61-AH62-AH63-AH65-AH66-AH67</f>
        <v>0</v>
      </c>
      <c r="AI69" s="133">
        <f>AH69/1000000000</f>
        <v>0</v>
      </c>
      <c r="AT69" s="133">
        <v>15</v>
      </c>
      <c r="AU69" s="137">
        <f>AU54-INT(AU54/100000000000)*100000000000-AU57-AU55-AU58-AU59-AU61-AU62-AU63-AU65-AU66-AU67</f>
        <v>0</v>
      </c>
      <c r="AV69" s="133">
        <f>AU69/1000000000</f>
        <v>0</v>
      </c>
    </row>
    <row r="70" spans="8:48" s="133" customFormat="1" ht="12" customHeight="1" hidden="1">
      <c r="H70" s="133">
        <v>16</v>
      </c>
      <c r="I70" s="137">
        <f>I54-INT(I54/1000000000000)*1000000000000-I57-I55-I58-I59-I61-I62-I63-I65-I66-I67-I69</f>
        <v>0</v>
      </c>
      <c r="J70" s="133">
        <f>I70/1000000000</f>
        <v>0</v>
      </c>
      <c r="T70" s="133">
        <v>16</v>
      </c>
      <c r="U70" s="137">
        <f>U54-INT(U54/1000000000000)*1000000000000-U57-U55-U58-U59-U61-U62-U63-U65-U66-U67-U69</f>
        <v>0</v>
      </c>
      <c r="V70" s="133">
        <f>U70/1000000000</f>
        <v>0</v>
      </c>
      <c r="AG70" s="133">
        <v>16</v>
      </c>
      <c r="AH70" s="137">
        <f>AH54-INT(AH54/1000000000000)*1000000000000-AH57-AH55-AH58-AH59-AH61-AH62-AH63-AH65-AH66-AH67-AH69</f>
        <v>0</v>
      </c>
      <c r="AI70" s="133">
        <f>AH70/1000000000</f>
        <v>0</v>
      </c>
      <c r="AT70" s="133">
        <v>16</v>
      </c>
      <c r="AU70" s="137">
        <f>AU54-INT(AU54/1000000000000)*1000000000000-AU57-AU55-AU58-AU59-AU61-AU62-AU63-AU65-AU66-AU67-AU69</f>
        <v>0</v>
      </c>
      <c r="AV70" s="133">
        <f>AU70/1000000000</f>
        <v>0</v>
      </c>
    </row>
    <row r="71" spans="9:47" s="133" customFormat="1" ht="12" customHeight="1" hidden="1">
      <c r="I71" s="139" t="str">
        <f>IF(I54=0,"",IF(J58&lt;10,G87&amp;G86&amp;G85&amp;G84&amp;L84&amp;G83&amp;G82&amp;G81&amp;G80&amp;L80&amp;G79&amp;G78&amp;G77&amp;G76&amp;L76&amp;G75&amp;G74&amp;G73&amp;G72&amp;D76&amp;K58&amp;J58&amp;B76,G87&amp;G86&amp;G85&amp;G84&amp;L84&amp;G83&amp;G82&amp;G81&amp;G80&amp;L80&amp;G79&amp;G78&amp;G77&amp;G76&amp;L76&amp;G75&amp;G74&amp;G73&amp;G72&amp;D76&amp;J58&amp;B76))</f>
        <v> Четыре тысячи семьсот семьдесят шесть белорусских рублей 29 копеек</v>
      </c>
      <c r="U71" s="139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Четыре тысячи семьсот семьдесят шесть российских рублей 29 копеек</v>
      </c>
      <c r="AH71" s="139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Четыре тысячи семьсот семьдесят шесть долларов 29 центов</v>
      </c>
      <c r="AU71" s="139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Четыре тысячи семьсот семьдесят шесть евро 29 евроцентов</v>
      </c>
    </row>
    <row r="72" spans="2:49" s="133" customFormat="1" ht="12" customHeight="1" hidden="1">
      <c r="B72" s="140">
        <f>IF(AND(J56&gt;=11,J56&lt;=19),"",IF(J57=1,C72,""))</f>
      </c>
      <c r="C72" s="133" t="s">
        <v>80</v>
      </c>
      <c r="D72" s="140">
        <f>IF(I56&gt;0,"",IF(I55=1,E72,""))</f>
      </c>
      <c r="E72" s="141" t="s">
        <v>81</v>
      </c>
      <c r="G72" s="133" t="str">
        <f>IF(SUM(I56:I70)=0,PROPER(I72),I72)</f>
        <v> шесть</v>
      </c>
      <c r="H72" s="133">
        <v>1</v>
      </c>
      <c r="I72" s="139" t="str">
        <f>IF(AND(I56&lt;20,I56&gt;10),"",J72&amp;K72)</f>
        <v> шесть</v>
      </c>
      <c r="J72" s="133" t="str">
        <f>IF(I55=1," один",IF(I55=2," два",IF(I55=3," три",IF(I55=4," четыре",IF(I55=5," пять",IF(I55=6," шесть",IF(I55=7," семь","")))))))</f>
        <v> шесть</v>
      </c>
      <c r="K72" s="133">
        <f>IF(I55=8," восемь",IF(I55=9," девять",""))</f>
      </c>
      <c r="N72" s="140">
        <f>IF(AND(V56&gt;=11,V56&lt;=19),"",IF(V57=1,O72,""))</f>
      </c>
      <c r="O72" s="133" t="s">
        <v>80</v>
      </c>
      <c r="P72" s="140">
        <f>IF(U56&gt;0,"",IF(U55=1,Q72,""))</f>
      </c>
      <c r="Q72" s="141" t="s">
        <v>82</v>
      </c>
      <c r="S72" s="133" t="str">
        <f>IF(SUM(U56:U70)=0,PROPER(U72),U72)</f>
        <v> шесть</v>
      </c>
      <c r="T72" s="133">
        <v>1</v>
      </c>
      <c r="U72" s="139" t="str">
        <f>IF(AND(U56&lt;20,U56&gt;10),"",V72&amp;W72)</f>
        <v> шесть</v>
      </c>
      <c r="V72" s="133" t="str">
        <f>IF(U55=1," один",IF(U55=2," два",IF(U55=3," три",IF(U55=4," четыре",IF(U55=5," пять",IF(U55=6," шесть",IF(U55=7," семь","")))))))</f>
        <v> шесть</v>
      </c>
      <c r="W72" s="133">
        <f>IF(U55=8," восемь",IF(U55=9," девять",""))</f>
      </c>
      <c r="AA72" s="140">
        <f>IF(AND(AI56&gt;=11,AI56&lt;=19),"",IF(AI57=1,AB72,""))</f>
      </c>
      <c r="AB72" s="133" t="s">
        <v>83</v>
      </c>
      <c r="AC72" s="140">
        <f>IF(AH56&gt;0,"",IF(AH55=1,AD72,""))</f>
      </c>
      <c r="AD72" s="141" t="s">
        <v>84</v>
      </c>
      <c r="AF72" s="133" t="str">
        <f>IF(SUM(AH56:AH70)=0,PROPER(AH72),AH72)</f>
        <v> шесть</v>
      </c>
      <c r="AG72" s="133">
        <v>1</v>
      </c>
      <c r="AH72" s="139" t="str">
        <f>IF(AND(AH56&lt;20,AH56&gt;10),"",AI72&amp;AJ72)</f>
        <v> шесть</v>
      </c>
      <c r="AI72" s="133" t="str">
        <f>IF(AH55=1," один",IF(AH55=2," два",IF(AH55=3," три",IF(AH55=4," четыре",IF(AH55=5," пять",IF(AH55=6," шесть",IF(AH55=7," семь","")))))))</f>
        <v> шесть</v>
      </c>
      <c r="AJ72" s="133">
        <f>IF(AH55=8," восемь",IF(AH55=9," девять",""))</f>
      </c>
      <c r="AN72" s="140">
        <f>IF(AND(AV56&gt;=11,AV56&lt;=19),"",IF(AV57=1,AO72,""))</f>
      </c>
      <c r="AO72" s="133" t="s">
        <v>85</v>
      </c>
      <c r="AP72" s="140"/>
      <c r="AQ72" s="141"/>
      <c r="AS72" s="133" t="str">
        <f>IF(SUM(AU56:AU70)=0,PROPER(AU72),AU72)</f>
        <v> шесть</v>
      </c>
      <c r="AT72" s="133">
        <v>1</v>
      </c>
      <c r="AU72" s="139" t="str">
        <f>IF(AND(AU56&lt;20,AU56&gt;10),"",AV72&amp;AW72)</f>
        <v> шесть</v>
      </c>
      <c r="AV72" s="133" t="str">
        <f>IF(AU55=1," один",IF(AU55=2," два",IF(AU55=3," три",IF(AU55=4," четыре",IF(AU55=5," пять",IF(AU55=6," шесть",IF(AU55=7," семь","")))))))</f>
        <v> шесть</v>
      </c>
      <c r="AW72" s="133">
        <f>IF(AU55=8," восемь",IF(AU55=9," девять",""))</f>
      </c>
    </row>
    <row r="73" spans="2:49" s="133" customFormat="1" ht="12" customHeight="1" hidden="1">
      <c r="B73" s="142">
        <f>IF(AND(J56&gt;=11,J56&lt;=19),"",IF(OR(J57=2,J57=3,J57=4),C73,""))</f>
      </c>
      <c r="C73" s="133" t="s">
        <v>86</v>
      </c>
      <c r="D73" s="142">
        <f>IF(I56&gt;0,"",IF(OR(I55=2,I55=3,I55=4),E73,""))</f>
      </c>
      <c r="E73" s="143" t="s">
        <v>87</v>
      </c>
      <c r="G73" s="133">
        <f>IF(SUM(I58:I70)=0,PROPER(I73),I73)</f>
      </c>
      <c r="H73" s="133">
        <v>2</v>
      </c>
      <c r="I73" s="139">
        <f>J73&amp;K73</f>
      </c>
      <c r="J73" s="133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133">
        <f>IF(I56=18," восемнадцать",IF(I56=19," девятнадцать",""))</f>
      </c>
      <c r="N73" s="142">
        <f>IF(AND(V56&gt;=11,V56&lt;=19),"",IF(OR(V57=2,V57=3,V57=4),O73,""))</f>
      </c>
      <c r="O73" s="133" t="s">
        <v>86</v>
      </c>
      <c r="P73" s="142">
        <f>IF(U56&gt;0,"",IF(OR(U55=2,U55=3,U55=4),Q73,""))</f>
      </c>
      <c r="Q73" s="143" t="s">
        <v>88</v>
      </c>
      <c r="S73" s="133">
        <f>IF(SUM(U58:U70)=0,PROPER(U73),U73)</f>
      </c>
      <c r="T73" s="133">
        <v>2</v>
      </c>
      <c r="U73" s="139">
        <f>V73&amp;W73</f>
      </c>
      <c r="V73" s="133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133">
        <f>IF(U56=18," восемнадцать",IF(U56=19," девятнадцать",""))</f>
      </c>
      <c r="AA73" s="142">
        <f>IF(AND(AI56&gt;=11,AI56&lt;=19),"",IF(OR(AI57=2,AI57=3,AI57=4),AB73,""))</f>
      </c>
      <c r="AB73" s="133" t="s">
        <v>89</v>
      </c>
      <c r="AC73" s="142">
        <f>IF(AH56&gt;0,"",IF(OR(AH55=2,AH55=3,AH55=4),AD73,""))</f>
      </c>
      <c r="AD73" s="143" t="s">
        <v>90</v>
      </c>
      <c r="AF73" s="133">
        <f>IF(SUM(AH58:AH70)=0,PROPER(AH73),AH73)</f>
      </c>
      <c r="AG73" s="133">
        <v>2</v>
      </c>
      <c r="AH73" s="139">
        <f>AI73&amp;AJ73</f>
      </c>
      <c r="AI73" s="133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133">
        <f>IF(AH56=18," восемнадцать",IF(AH56=19," девятнадцать",""))</f>
      </c>
      <c r="AN73" s="142">
        <f>IF(AND(AV56&gt;=11,AV56&lt;=19),"",IF(OR(AV57=2,AV57=3,AV57=4),AO73,""))</f>
      </c>
      <c r="AO73" s="133" t="s">
        <v>91</v>
      </c>
      <c r="AP73" s="142"/>
      <c r="AQ73" s="143"/>
      <c r="AS73" s="133">
        <f>IF(SUM(AU58:AU70)=0,PROPER(AU73),AU73)</f>
      </c>
      <c r="AT73" s="133">
        <v>2</v>
      </c>
      <c r="AU73" s="139">
        <f>AV73&amp;AW73</f>
      </c>
      <c r="AV73" s="133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133">
        <f>IF(AU56=18," восемнадцать",IF(AU56=19," девятнадцать",""))</f>
      </c>
    </row>
    <row r="74" spans="2:49" s="133" customFormat="1" ht="12" customHeight="1" hidden="1">
      <c r="B74" s="142" t="str">
        <f>IF(AND(J56&gt;=11,J56&lt;=19),"",IF(OR(J57=0,J57=5,J57=6,J57=7,J57=8,J57=9),C74,""))</f>
        <v> копеек</v>
      </c>
      <c r="C74" s="133" t="s">
        <v>92</v>
      </c>
      <c r="D74" s="142" t="str">
        <f>IF(I56&gt;0,"",IF(OR(I55=0,I55=5,I55=6,I55=7,I55=8,I55=9),E74,""))</f>
        <v> белорусских рублей </v>
      </c>
      <c r="E74" s="143" t="s">
        <v>93</v>
      </c>
      <c r="G74" s="133" t="str">
        <f>IF(SUM(I58:I70)=0,PROPER(I74),I74)</f>
        <v> семьдесят</v>
      </c>
      <c r="H74" s="133">
        <v>3</v>
      </c>
      <c r="I74" s="139" t="str">
        <f>IF(AND(I56&lt;20,I56&gt;10),"",J74&amp;K74)</f>
        <v> семьдесят</v>
      </c>
      <c r="J74" s="133">
        <f>IF(I57=10," десять",IF(I57=20," двадцать",IF(I57=30," тридцать",IF(I57=40," сорок",IF(I57=50," пятьдесят",IF(I57=60," шестьдесят",""))))))</f>
      </c>
      <c r="K74" s="133" t="str">
        <f>IF(I57=70," семьдесят",IF(I57=80," восемьдесят",IF(I57=90," девяносто","")))</f>
        <v> семьдесят</v>
      </c>
      <c r="N74" s="142" t="str">
        <f>IF(AND(V56&gt;=11,V56&lt;=19),"",IF(OR(V57=0,V57=5,V57=6,V57=7,V57=8,V57=9),O74,""))</f>
        <v> копеек</v>
      </c>
      <c r="O74" s="133" t="s">
        <v>92</v>
      </c>
      <c r="P74" s="142" t="str">
        <f>IF(U56&gt;0,"",IF(OR(U55=0,U55=5,U55=6,U55=7,U55=8,U55=9),Q74,""))</f>
        <v> российских рублей </v>
      </c>
      <c r="Q74" s="143" t="s">
        <v>94</v>
      </c>
      <c r="S74" s="133" t="str">
        <f>IF(SUM(U58:U70)=0,PROPER(U74),U74)</f>
        <v> семьдесят</v>
      </c>
      <c r="T74" s="133">
        <v>3</v>
      </c>
      <c r="U74" s="139" t="str">
        <f>IF(AND(U56&lt;20,U56&gt;10),"",V74&amp;W74)</f>
        <v> семьдесят</v>
      </c>
      <c r="V74" s="133">
        <f>IF(U57=10," десять",IF(U57=20," двадцать",IF(U57=30," тридцать",IF(U57=40," сорок",IF(U57=50," пятьдесят",IF(U57=60," шестьдесят",""))))))</f>
      </c>
      <c r="W74" s="133" t="str">
        <f>IF(U57=70," семьдесят",IF(U57=80," восемьдесят",IF(U57=90," девяносто","")))</f>
        <v> семьдесят</v>
      </c>
      <c r="AA74" s="142" t="str">
        <f>IF(AND(AI56&gt;=11,AI56&lt;=19),"",IF(OR(AI57=0,AI57=5,AI57=6,AI57=7,AI57=8,AI57=9),AB74,""))</f>
        <v> центов</v>
      </c>
      <c r="AB74" s="133" t="s">
        <v>95</v>
      </c>
      <c r="AC74" s="142" t="str">
        <f>IF(AH56&gt;0,"",IF(OR(AH55=0,AH55=5,AH55=6,AH55=7,AH55=8,AH55=9),AD74,""))</f>
        <v> долларов </v>
      </c>
      <c r="AD74" s="143" t="s">
        <v>96</v>
      </c>
      <c r="AF74" s="133" t="str">
        <f>IF(SUM(AH58:AH70)=0,PROPER(AH74),AH74)</f>
        <v> семьдесят</v>
      </c>
      <c r="AG74" s="133">
        <v>3</v>
      </c>
      <c r="AH74" s="139" t="str">
        <f>IF(AND(AH56&lt;20,AH56&gt;10),"",AI74&amp;AJ74)</f>
        <v> семьдесят</v>
      </c>
      <c r="AI74" s="133">
        <f>IF(AH57=10," десять",IF(AH57=20," двадцать",IF(AH57=30," тридцать",IF(AH57=40," сорок",IF(AH57=50," пятьдесят",IF(AH57=60," шестьдесят",""))))))</f>
      </c>
      <c r="AJ74" s="133" t="str">
        <f>IF(AH57=70," семьдесят",IF(AH57=80," восемьдесят",IF(AH57=90," девяносто","")))</f>
        <v> семьдесят</v>
      </c>
      <c r="AN74" s="142" t="str">
        <f>IF(AND(AV56&gt;=11,AV56&lt;=19),"",IF(OR(AV57=0,AV57=5,AV57=6,AV57=7,AV57=8,AV57=9),AO74,""))</f>
        <v> евроцентов</v>
      </c>
      <c r="AO74" s="133" t="s">
        <v>97</v>
      </c>
      <c r="AP74" s="142"/>
      <c r="AQ74" s="143"/>
      <c r="AS74" s="133" t="str">
        <f>IF(SUM(AU58:AU70)=0,PROPER(AU74),AU74)</f>
        <v> семьдесят</v>
      </c>
      <c r="AT74" s="133">
        <v>3</v>
      </c>
      <c r="AU74" s="139" t="str">
        <f>IF(AND(AU56&lt;20,AU56&gt;10),"",AV74&amp;AW74)</f>
        <v> семьдесят</v>
      </c>
      <c r="AV74" s="133">
        <f>IF(AU57=10," десять",IF(AU57=20," двадцать",IF(AU57=30," тридцать",IF(AU57=40," сорок",IF(AU57=50," пятьдесят",IF(AU57=60," шестьдесят",""))))))</f>
      </c>
      <c r="AW74" s="133" t="str">
        <f>IF(AU57=70," семьдесят",IF(AU57=80," восемьдесят",IF(AU57=90," девяносто","")))</f>
        <v> семьдесят</v>
      </c>
    </row>
    <row r="75" spans="2:49" s="133" customFormat="1" ht="12" customHeight="1" hidden="1">
      <c r="B75" s="133">
        <f>IF(AND(J56&gt;=11,J56&lt;=19),C74,"")</f>
      </c>
      <c r="D75" s="133">
        <f>IF(AND(I56&gt;=11,I56&lt;=19),E74,"")</f>
      </c>
      <c r="E75" s="143"/>
      <c r="G75" s="133" t="str">
        <f>IF(SUM(J59:J70)=0,PROPER(I75),I75)</f>
        <v> семьсот</v>
      </c>
      <c r="H75" s="133">
        <v>4</v>
      </c>
      <c r="I75" s="139" t="str">
        <f>J75&amp;K75</f>
        <v> семьсот</v>
      </c>
      <c r="J75" s="133">
        <f>IF(I58=100," сто",IF(I58=200," двести",IF(I58=300," триста",IF(I58=400," четыреста",IF(I58=500," пятьсот",IF(I58=600," шестьсот",""))))))</f>
      </c>
      <c r="K75" s="133" t="str">
        <f>IF(I58=700," семьсот",IF(I58=800," восемьсот",IF(I58=900," девятьсот","")))</f>
        <v> семьсот</v>
      </c>
      <c r="N75" s="133">
        <f>IF(AND(V56&gt;=11,V56&lt;=19),O74,"")</f>
      </c>
      <c r="P75" s="133">
        <f>IF(AND(U56&gt;=11,U56&lt;=19),Q74,"")</f>
      </c>
      <c r="Q75" s="143"/>
      <c r="S75" s="133" t="str">
        <f>IF(SUM(V59:V70)=0,PROPER(U75),U75)</f>
        <v> семьсот</v>
      </c>
      <c r="T75" s="133">
        <v>4</v>
      </c>
      <c r="U75" s="139" t="str">
        <f>V75&amp;W75</f>
        <v> семьсот</v>
      </c>
      <c r="V75" s="133">
        <f>IF(U58=100," сто",IF(U58=200," двести",IF(U58=300," триста",IF(U58=400," четыреста",IF(U58=500," пятьсот",IF(U58=600," шестьсот",""))))))</f>
      </c>
      <c r="W75" s="133" t="str">
        <f>IF(U58=700," семьсот",IF(U58=800," восемьсот",IF(U58=900," девятьсот","")))</f>
        <v> семьсот</v>
      </c>
      <c r="AA75" s="133">
        <f>IF(AND(AI56&gt;=11,AI56&lt;=19),AB74,"")</f>
      </c>
      <c r="AC75" s="133">
        <f>IF(AND(AH56&gt;=11,AH56&lt;=19),AD74,"")</f>
      </c>
      <c r="AD75" s="143"/>
      <c r="AF75" s="133" t="str">
        <f>IF(SUM(AI59:AI70)=0,PROPER(AH75),AH75)</f>
        <v> семьсот</v>
      </c>
      <c r="AG75" s="133">
        <v>4</v>
      </c>
      <c r="AH75" s="139" t="str">
        <f>AI75&amp;AJ75</f>
        <v> семьсот</v>
      </c>
      <c r="AI75" s="133">
        <f>IF(AH58=100," сто",IF(AH58=200," двести",IF(AH58=300," триста",IF(AH58=400," четыреста",IF(AH58=500," пятьсот",IF(AH58=600," шестьсот",""))))))</f>
      </c>
      <c r="AJ75" s="133" t="str">
        <f>IF(AH58=700," семьсот",IF(AH58=800," восемьсот",IF(AH58=900," девятьсот","")))</f>
        <v> семьсот</v>
      </c>
      <c r="AN75" s="133">
        <f>IF(AND(AV56&gt;=11,AV56&lt;=19),AO74,"")</f>
      </c>
      <c r="AQ75" s="143"/>
      <c r="AS75" s="133" t="str">
        <f>IF(SUM(AV59:AV70)=0,PROPER(AU75),AU75)</f>
        <v> семьсот</v>
      </c>
      <c r="AT75" s="133">
        <v>4</v>
      </c>
      <c r="AU75" s="139" t="str">
        <f>AV75&amp;AW75</f>
        <v> семьсот</v>
      </c>
      <c r="AV75" s="133">
        <f>IF(AU58=100," сто",IF(AU58=200," двести",IF(AU58=300," триста",IF(AU58=400," четыреста",IF(AU58=500," пятьсот",IF(AU58=600," шестьсот",""))))))</f>
      </c>
      <c r="AW75" s="133" t="str">
        <f>IF(AU58=700," семьсот",IF(AU58=800," восемьсот",IF(AU58=900," девятьсот","")))</f>
        <v> семьсот</v>
      </c>
    </row>
    <row r="76" spans="2:50" s="133" customFormat="1" ht="12" customHeight="1" hidden="1">
      <c r="B76" s="141" t="str">
        <f>B72&amp;B73&amp;B74&amp;B75</f>
        <v> копеек</v>
      </c>
      <c r="D76" s="141" t="str">
        <f>D72&amp;D73&amp;D74&amp;D75</f>
        <v> белорусских рублей </v>
      </c>
      <c r="E76" s="141"/>
      <c r="G76" s="133" t="str">
        <f>IF(SUM(J60:J70)=0,PROPER(I76),I76)</f>
        <v> Четыре</v>
      </c>
      <c r="H76" s="133">
        <v>5</v>
      </c>
      <c r="I76" s="139" t="str">
        <f>IF(AND(J60&lt;20,J60&gt;10),"",J76&amp;K76)</f>
        <v> четыре</v>
      </c>
      <c r="J76" s="133" t="str">
        <f>IF(J59=1," одна",IF(J59=2," две",IF(J59=3," три",IF(J59=4," четыре",IF(J59=5," пять",IF(J59=6," шесть",IF(J59=7," семь","")))))))</f>
        <v> четыре</v>
      </c>
      <c r="K76" s="133">
        <f>IF(J59=8," восемь",IF(J59=9," девять",""))</f>
      </c>
      <c r="L76" s="133" t="str">
        <f>IF(AND(I76="",I77="",I78="",I79=""),"",IF(AND(J60&lt;20,J60&gt;10)," тысяч",IF(J59=1," тысяча",IF(OR(J59=2,J59=3,J59=4)," тысячи"," тысяч"))))</f>
        <v> тысячи</v>
      </c>
      <c r="N76" s="141" t="str">
        <f>N72&amp;N73&amp;N74&amp;N75</f>
        <v> копеек</v>
      </c>
      <c r="P76" s="141" t="str">
        <f>P72&amp;P73&amp;P74&amp;P75</f>
        <v> российских рублей </v>
      </c>
      <c r="Q76" s="141"/>
      <c r="S76" s="133" t="str">
        <f>IF(SUM(V60:V70)=0,PROPER(U76),U76)</f>
        <v> Четыре</v>
      </c>
      <c r="T76" s="133">
        <v>5</v>
      </c>
      <c r="U76" s="139" t="str">
        <f>IF(AND(V60&lt;20,V60&gt;10),"",V76&amp;W76)</f>
        <v> четыре</v>
      </c>
      <c r="V76" s="133" t="str">
        <f>IF(V59=1," одна",IF(V59=2," две",IF(V59=3," три",IF(V59=4," четыре",IF(V59=5," пять",IF(V59=6," шесть",IF(V59=7," семь","")))))))</f>
        <v> четыре</v>
      </c>
      <c r="W76" s="133">
        <f>IF(V59=8," восемь",IF(V59=9," девять",""))</f>
      </c>
      <c r="X76" s="133" t="str">
        <f>IF(AND(U76="",U77="",U78="",U79=""),"",IF(AND(V60&lt;20,V60&gt;10)," тысяч",IF(V59=1," тысяча",IF(OR(V59=2,V59=3,V59=4)," тысячи"," тысяч"))))</f>
        <v> тысячи</v>
      </c>
      <c r="AA76" s="141" t="str">
        <f>AA72&amp;AA73&amp;AA74&amp;AA75</f>
        <v> центов</v>
      </c>
      <c r="AC76" s="141" t="str">
        <f>AC72&amp;AC73&amp;AC74&amp;AC75</f>
        <v> долларов </v>
      </c>
      <c r="AD76" s="141"/>
      <c r="AF76" s="133" t="str">
        <f>IF(SUM(AI60:AI70)=0,PROPER(AH76),AH76)</f>
        <v> Четыре</v>
      </c>
      <c r="AG76" s="133">
        <v>5</v>
      </c>
      <c r="AH76" s="139" t="str">
        <f>IF(AND(AI60&lt;20,AI60&gt;10),"",AI76&amp;AJ76)</f>
        <v> четыре</v>
      </c>
      <c r="AI76" s="133" t="str">
        <f>IF(AI59=1," одна",IF(AI59=2," две",IF(AI59=3," три",IF(AI59=4," четыре",IF(AI59=5," пять",IF(AI59=6," шесть",IF(AI59=7," семь","")))))))</f>
        <v> четыре</v>
      </c>
      <c r="AJ76" s="133">
        <f>IF(AI59=8," восемь",IF(AI59=9," девять",""))</f>
      </c>
      <c r="AK76" s="133" t="str">
        <f>IF(AND(AH76="",AH77="",AH78="",AH79=""),"",IF(AND(AI60&lt;20,AI60&gt;10)," тысяч",IF(AI59=1," тысяча",IF(OR(AI59=2,AI59=3,AI59=4)," тысячи"," тысяч"))))</f>
        <v> тысячи</v>
      </c>
      <c r="AN76" s="141" t="str">
        <f>AN72&amp;AN73&amp;AN74&amp;AN75</f>
        <v> евроцентов</v>
      </c>
      <c r="AP76" s="141" t="s">
        <v>98</v>
      </c>
      <c r="AQ76" s="141"/>
      <c r="AS76" s="133" t="str">
        <f>IF(SUM(AV60:AV70)=0,PROPER(AU76),AU76)</f>
        <v> Четыре</v>
      </c>
      <c r="AT76" s="133">
        <v>5</v>
      </c>
      <c r="AU76" s="139" t="str">
        <f>IF(AND(AV60&lt;20,AV60&gt;10),"",AV76&amp;AW76)</f>
        <v> четыре</v>
      </c>
      <c r="AV76" s="133" t="str">
        <f>IF(AV59=1," одна",IF(AV59=2," две",IF(AV59=3," три",IF(AV59=4," четыре",IF(AV59=5," пять",IF(AV59=6," шесть",IF(AV59=7," семь","")))))))</f>
        <v> четыре</v>
      </c>
      <c r="AW76" s="133">
        <f>IF(AV59=8," восемь",IF(AV59=9," девять",""))</f>
      </c>
      <c r="AX76" s="133" t="str">
        <f>IF(AND(AU76="",AU77="",AU78="",AU79=""),"",IF(AND(AV60&lt;20,AV60&gt;10)," тысяч",IF(AV59=1," тысяча",IF(OR(AV59=2,AV59=3,AV59=4)," тысячи"," тысяч"))))</f>
        <v> тысячи</v>
      </c>
    </row>
    <row r="77" spans="4:49" s="133" customFormat="1" ht="12" customHeight="1" hidden="1">
      <c r="D77" s="140"/>
      <c r="E77" s="141"/>
      <c r="G77" s="133">
        <f>IF(SUM(J62:J70)=0,PROPER(I77),I77)</f>
      </c>
      <c r="H77" s="133">
        <v>6</v>
      </c>
      <c r="I77" s="139">
        <f>J77&amp;K77</f>
      </c>
      <c r="J77" s="133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133">
        <f>IF(J60=18," восемнадцать",IF(J60=19," девятнадцать",""))</f>
      </c>
      <c r="P77" s="140"/>
      <c r="Q77" s="141"/>
      <c r="S77" s="133">
        <f>IF(SUM(V62:V70)=0,PROPER(U77),U77)</f>
      </c>
      <c r="T77" s="133">
        <v>6</v>
      </c>
      <c r="U77" s="139">
        <f>V77&amp;W77</f>
      </c>
      <c r="V77" s="133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133">
        <f>IF(V60=18," восемнадцать",IF(V60=19," девятнадцать",""))</f>
      </c>
      <c r="AC77" s="140"/>
      <c r="AD77" s="141"/>
      <c r="AF77" s="133">
        <f>IF(SUM(AI62:AI70)=0,PROPER(AH77),AH77)</f>
      </c>
      <c r="AG77" s="133">
        <v>6</v>
      </c>
      <c r="AH77" s="139">
        <f>AI77&amp;AJ77</f>
      </c>
      <c r="AI77" s="133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133">
        <f>IF(AI60=18," восемнадцать",IF(AI60=19," девятнадцать",""))</f>
      </c>
      <c r="AP77" s="140"/>
      <c r="AQ77" s="141"/>
      <c r="AS77" s="133">
        <f>IF(SUM(AV62:AV70)=0,PROPER(AU77),AU77)</f>
      </c>
      <c r="AT77" s="133">
        <v>6</v>
      </c>
      <c r="AU77" s="139">
        <f>AV77&amp;AW77</f>
      </c>
      <c r="AV77" s="133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133">
        <f>IF(AV60=18," восемнадцать",IF(AV60=19," девятнадцать",""))</f>
      </c>
    </row>
    <row r="78" spans="7:49" s="133" customFormat="1" ht="12" customHeight="1" hidden="1">
      <c r="G78" s="133">
        <f>IF(SUM(J62:J70)=0,PROPER(I78),I78)</f>
      </c>
      <c r="H78" s="133">
        <v>7</v>
      </c>
      <c r="I78" s="139">
        <f>IF(AND(J60&lt;20,J60&gt;10),"",J78&amp;K78)</f>
      </c>
      <c r="J78" s="133">
        <f>IF(J61=10," десять",IF(J61=20," двадцать",IF(J61=30," тридцать",IF(J61=40," сорок",IF(J61=50," пятьдесят",IF(J61=60," шестьдесят",""))))))</f>
      </c>
      <c r="K78" s="133">
        <f>IF(J61=70," семьдесят",IF(J61=80," восемьдесят",IF(J61=90," девяносто","")))</f>
      </c>
      <c r="S78" s="133">
        <f>IF(SUM(V62:V70)=0,PROPER(U78),U78)</f>
      </c>
      <c r="T78" s="133">
        <v>7</v>
      </c>
      <c r="U78" s="139">
        <f>IF(AND(V60&lt;20,V60&gt;10),"",V78&amp;W78)</f>
      </c>
      <c r="V78" s="133">
        <f>IF(V61=10," десять",IF(V61=20," двадцать",IF(V61=30," тридцать",IF(V61=40," сорок",IF(V61=50," пятьдесят",IF(V61=60," шестьдесят",""))))))</f>
      </c>
      <c r="W78" s="133">
        <f>IF(V61=70," семьдесят",IF(V61=80," восемьдесят",IF(V61=90," девяносто","")))</f>
      </c>
      <c r="AF78" s="133">
        <f>IF(SUM(AI62:AI70)=0,PROPER(AH78),AH78)</f>
      </c>
      <c r="AG78" s="133">
        <v>7</v>
      </c>
      <c r="AH78" s="139">
        <f>IF(AND(AI60&lt;20,AI60&gt;10),"",AI78&amp;AJ78)</f>
      </c>
      <c r="AI78" s="133">
        <f>IF(AI61=10," десять",IF(AI61=20," двадцать",IF(AI61=30," тридцать",IF(AI61=40," сорок",IF(AI61=50," пятьдесят",IF(AI61=60," шестьдесят",""))))))</f>
      </c>
      <c r="AJ78" s="133">
        <f>IF(AI61=70," семьдесят",IF(AI61=80," восемьдесят",IF(AI61=90," девяносто","")))</f>
      </c>
      <c r="AS78" s="133">
        <f>IF(SUM(AV62:AV70)=0,PROPER(AU78),AU78)</f>
      </c>
      <c r="AT78" s="133">
        <v>7</v>
      </c>
      <c r="AU78" s="139">
        <f>IF(AND(AV60&lt;20,AV60&gt;10),"",AV78&amp;AW78)</f>
      </c>
      <c r="AV78" s="133">
        <f>IF(AV61=10," десять",IF(AV61=20," двадцать",IF(AV61=30," тридцать",IF(AV61=40," сорок",IF(AV61=50," пятьдесят",IF(AV61=60," шестьдесят",""))))))</f>
      </c>
      <c r="AW78" s="133">
        <f>IF(AV61=70," семьдесят",IF(AV61=80," восемьдесят",IF(AV61=90," девяносто","")))</f>
      </c>
    </row>
    <row r="79" spans="7:49" s="133" customFormat="1" ht="12" customHeight="1" hidden="1">
      <c r="G79" s="133">
        <f>IF(SUM(J63:J70)=0,PROPER(I79),I79)</f>
      </c>
      <c r="H79" s="133">
        <v>8</v>
      </c>
      <c r="I79" s="139">
        <f>J79&amp;K79</f>
      </c>
      <c r="J79" s="133">
        <f>IF(J62=100," сто",IF(J62=200," двести",IF(J62=300," триста",IF(J62=400," четыреста",IF(J62=500," пятьсот",IF(J62=600," шестьсот",""))))))</f>
      </c>
      <c r="K79" s="133">
        <f>IF(J62=700," семьсот",IF(J62=800," восемьсот",IF(J62=900," девятьсот","")))</f>
      </c>
      <c r="S79" s="133">
        <f>IF(SUM(V63:V70)=0,PROPER(U79),U79)</f>
      </c>
      <c r="T79" s="133">
        <v>8</v>
      </c>
      <c r="U79" s="139">
        <f>V79&amp;W79</f>
      </c>
      <c r="V79" s="133">
        <f>IF(V62=100," сто",IF(V62=200," двести",IF(V62=300," триста",IF(V62=400," четыреста",IF(V62=500," пятьсот",IF(V62=600," шестьсот",""))))))</f>
      </c>
      <c r="W79" s="133">
        <f>IF(V62=700," семьсот",IF(V62=800," восемьсот",IF(V62=900," девятьсот","")))</f>
      </c>
      <c r="AF79" s="133">
        <f>IF(SUM(AI63:AI70)=0,PROPER(AH79),AH79)</f>
      </c>
      <c r="AG79" s="133">
        <v>8</v>
      </c>
      <c r="AH79" s="139">
        <f>AI79&amp;AJ79</f>
      </c>
      <c r="AI79" s="133">
        <f>IF(AI62=100," сто",IF(AI62=200," двести",IF(AI62=300," триста",IF(AI62=400," четыреста",IF(AI62=500," пятьсот",IF(AI62=600," шестьсот",""))))))</f>
      </c>
      <c r="AJ79" s="133">
        <f>IF(AI62=700," семьсот",IF(AI62=800," восемьсот",IF(AI62=900," девятьсот","")))</f>
      </c>
      <c r="AS79" s="133">
        <f>IF(SUM(AV63:AV70)=0,PROPER(AU79),AU79)</f>
      </c>
      <c r="AT79" s="133">
        <v>8</v>
      </c>
      <c r="AU79" s="139">
        <f>AV79&amp;AW79</f>
      </c>
      <c r="AV79" s="133">
        <f>IF(AV62=100," сто",IF(AV62=200," двести",IF(AV62=300," триста",IF(AV62=400," четыреста",IF(AV62=500," пятьсот",IF(AV62=600," шестьсот",""))))))</f>
      </c>
      <c r="AW79" s="133">
        <f>IF(AV62=700," семьсот",IF(AV62=800," восемьсот",IF(AV62=900," девятьсот","")))</f>
      </c>
    </row>
    <row r="80" spans="7:50" s="133" customFormat="1" ht="12" customHeight="1" hidden="1">
      <c r="G80" s="133">
        <f>IF(SUM(J64:J70)=0,PROPER(I80),I80)</f>
      </c>
      <c r="H80" s="133">
        <v>9</v>
      </c>
      <c r="I80" s="139">
        <f>IF(AND(J64&lt;20,J64&gt;10),"",J80&amp;K80)</f>
      </c>
      <c r="J80" s="133">
        <f>IF(J63=1," один",IF(J63=2," два",IF(J63=3," три",IF(J63=4," четыре",IF(J63=5," пять",IF(J63=6," шесть",IF(J63=7," семь","")))))))</f>
      </c>
      <c r="K80" s="133">
        <f>IF(J63=8," восемь",IF(J63=9," девять",""))</f>
      </c>
      <c r="L80" s="133">
        <f>IF(AND(I80="",I81="",I82="",I83=""),"",IF(AND(J64&lt;20,J64&gt;10)," миллионов",IF(J63=1," миллион",IF(OR(J63=2,J63=3,J63=4)," миллиона"," миллионов"))))</f>
      </c>
      <c r="S80" s="133">
        <f>IF(SUM(V64:V70)=0,PROPER(U80),U80)</f>
      </c>
      <c r="T80" s="133">
        <v>9</v>
      </c>
      <c r="U80" s="139">
        <f>IF(AND(V64&lt;20,V64&gt;10),"",V80&amp;W80)</f>
      </c>
      <c r="V80" s="133">
        <f>IF(V63=1," один",IF(V63=2," два",IF(V63=3," три",IF(V63=4," четыре",IF(V63=5," пять",IF(V63=6," шесть",IF(V63=7," семь","")))))))</f>
      </c>
      <c r="W80" s="133">
        <f>IF(V63=8," восемь",IF(V63=9," девять",""))</f>
      </c>
      <c r="X80" s="133">
        <f>IF(AND(U80="",U81="",U82="",U83=""),"",IF(AND(V64&lt;20,V64&gt;10)," миллионов",IF(V63=1," миллион",IF(OR(V63=2,V63=3,V63=4)," миллиона"," миллионов"))))</f>
      </c>
      <c r="AF80" s="133">
        <f>IF(SUM(AI64:AI70)=0,PROPER(AH80),AH80)</f>
      </c>
      <c r="AG80" s="133">
        <v>9</v>
      </c>
      <c r="AH80" s="139">
        <f>IF(AND(AI64&lt;20,AI64&gt;10),"",AI80&amp;AJ80)</f>
      </c>
      <c r="AI80" s="133">
        <f>IF(AI63=1," один",IF(AI63=2," два",IF(AI63=3," три",IF(AI63=4," четыре",IF(AI63=5," пять",IF(AI63=6," шесть",IF(AI63=7," семь","")))))))</f>
      </c>
      <c r="AJ80" s="133">
        <f>IF(AI63=8," восемь",IF(AI63=9," девять",""))</f>
      </c>
      <c r="AK80" s="133">
        <f>IF(AND(AH80="",AH81="",AH82="",AH83=""),"",IF(AND(AI64&lt;20,AI64&gt;10)," миллионов",IF(AI63=1," миллион",IF(OR(AI63=2,AI63=3,AI63=4)," миллиона"," миллионов"))))</f>
      </c>
      <c r="AS80" s="133">
        <f>IF(SUM(AV64:AV70)=0,PROPER(AU80),AU80)</f>
      </c>
      <c r="AT80" s="133">
        <v>9</v>
      </c>
      <c r="AU80" s="139">
        <f>IF(AND(AV64&lt;20,AV64&gt;10),"",AV80&amp;AW80)</f>
      </c>
      <c r="AV80" s="133">
        <f>IF(AV63=1," один",IF(AV63=2," два",IF(AV63=3," три",IF(AV63=4," четыре",IF(AV63=5," пять",IF(AV63=6," шесть",IF(AV63=7," семь","")))))))</f>
      </c>
      <c r="AW80" s="133">
        <f>IF(AV63=8," восемь",IF(AV63=9," девять",""))</f>
      </c>
      <c r="AX80" s="133">
        <f>IF(AND(AU80="",AU81="",AU82="",AU83=""),"",IF(AND(AV64&lt;20,AV64&gt;10)," миллионов",IF(AV63=1," миллион",IF(OR(AV63=2,AV63=3,AV63=4)," миллиона"," миллионов"))))</f>
      </c>
    </row>
    <row r="81" spans="7:49" s="133" customFormat="1" ht="12" customHeight="1" hidden="1">
      <c r="G81" s="133">
        <f>IF(SUM(J66:J70)=0,PROPER(I81),I81)</f>
      </c>
      <c r="H81" s="133">
        <v>10</v>
      </c>
      <c r="I81" s="139">
        <f>J81&amp;K81</f>
      </c>
      <c r="J81" s="133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133">
        <f>IF(J64=18," восемнадцать",IF(J64=19," девятнадцать",""))</f>
      </c>
      <c r="S81" s="133">
        <f>IF(SUM(V66:V70)=0,PROPER(U81),U81)</f>
      </c>
      <c r="T81" s="133">
        <v>10</v>
      </c>
      <c r="U81" s="139">
        <f>V81&amp;W81</f>
      </c>
      <c r="V81" s="133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133">
        <f>IF(V64=18," восемнадцать",IF(V64=19," девятнадцать",""))</f>
      </c>
      <c r="AF81" s="133">
        <f>IF(SUM(AI66:AI70)=0,PROPER(AH81),AH81)</f>
      </c>
      <c r="AG81" s="133">
        <v>10</v>
      </c>
      <c r="AH81" s="139">
        <f>AI81&amp;AJ81</f>
      </c>
      <c r="AI81" s="133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133">
        <f>IF(AI64=18," восемнадцать",IF(AI64=19," девятнадцать",""))</f>
      </c>
      <c r="AS81" s="133">
        <f>IF(SUM(AV66:AV70)=0,PROPER(AU81),AU81)</f>
      </c>
      <c r="AT81" s="133">
        <v>10</v>
      </c>
      <c r="AU81" s="139">
        <f>AV81&amp;AW81</f>
      </c>
      <c r="AV81" s="133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133">
        <f>IF(AV64=18," восемнадцать",IF(AV64=19," девятнадцать",""))</f>
      </c>
    </row>
    <row r="82" spans="7:49" s="133" customFormat="1" ht="12" customHeight="1" hidden="1">
      <c r="G82" s="133">
        <f>IF(SUM(J66:J70)=0,PROPER(I82),I82)</f>
      </c>
      <c r="H82" s="133">
        <v>11</v>
      </c>
      <c r="I82" s="139">
        <f>IF(AND(J64&lt;20,J64&gt;10),"",J82&amp;K82)</f>
      </c>
      <c r="J82" s="133">
        <f>IF(J65=10," десять",IF(J65=20," двадцать",IF(J65=30," тридцать",IF(J65=40," сорок",IF(J65=50," пятьдесят",IF(J65=60," шестьдесят",""))))))</f>
      </c>
      <c r="K82" s="133">
        <f>IF(J65=70," семьдесят",IF(J65=80," восемьдесят",IF(J65=90," девяносто","")))</f>
      </c>
      <c r="S82" s="133">
        <f>IF(SUM(V66:V70)=0,PROPER(U82),U82)</f>
      </c>
      <c r="T82" s="133">
        <v>11</v>
      </c>
      <c r="U82" s="139">
        <f>IF(AND(V64&lt;20,V64&gt;10),"",V82&amp;W82)</f>
      </c>
      <c r="V82" s="133">
        <f>IF(V65=10," десять",IF(V65=20," двадцать",IF(V65=30," тридцать",IF(V65=40," сорок",IF(V65=50," пятьдесят",IF(V65=60," шестьдесят",""))))))</f>
      </c>
      <c r="W82" s="133">
        <f>IF(V65=70," семьдесят",IF(V65=80," восемьдесят",IF(V65=90," девяносто","")))</f>
      </c>
      <c r="AF82" s="133">
        <f>IF(SUM(AI66:AI70)=0,PROPER(AH82),AH82)</f>
      </c>
      <c r="AG82" s="133">
        <v>11</v>
      </c>
      <c r="AH82" s="139">
        <f>IF(AND(AI64&lt;20,AI64&gt;10),"",AI82&amp;AJ82)</f>
      </c>
      <c r="AI82" s="133">
        <f>IF(AI65=10," десять",IF(AI65=20," двадцать",IF(AI65=30," тридцать",IF(AI65=40," сорок",IF(AI65=50," пятьдесят",IF(AI65=60," шестьдесят",""))))))</f>
      </c>
      <c r="AJ82" s="133">
        <f>IF(AI65=70," семьдесят",IF(AI65=80," восемьдесят",IF(AI65=90," девяносто","")))</f>
      </c>
      <c r="AS82" s="133">
        <f>IF(SUM(AV66:AV70)=0,PROPER(AU82),AU82)</f>
      </c>
      <c r="AT82" s="133">
        <v>11</v>
      </c>
      <c r="AU82" s="139">
        <f>IF(AND(AV64&lt;20,AV64&gt;10),"",AV82&amp;AW82)</f>
      </c>
      <c r="AV82" s="133">
        <f>IF(AV65=10," десять",IF(AV65=20," двадцать",IF(AV65=30," тридцать",IF(AV65=40," сорок",IF(AV65=50," пятьдесят",IF(AV65=60," шестьдесят",""))))))</f>
      </c>
      <c r="AW82" s="133">
        <f>IF(AV65=70," семьдесят",IF(AV65=80," восемьдесят",IF(AV65=90," девяносто","")))</f>
      </c>
    </row>
    <row r="83" spans="7:49" s="133" customFormat="1" ht="12" customHeight="1" hidden="1">
      <c r="G83" s="133">
        <f>IF(SUM(J67:J70)=0,PROPER(I83),I83)</f>
      </c>
      <c r="H83" s="133">
        <v>12</v>
      </c>
      <c r="I83" s="139">
        <f>J83&amp;K83</f>
      </c>
      <c r="J83" s="133">
        <f>IF(J66=100," сто",IF(J66=200," двести",IF(J66=300," триста",IF(J66=400," четыреста",IF(J66=500," пятьсот",IF(J66=600," шестьсот",""))))))</f>
      </c>
      <c r="K83" s="133">
        <f>IF(J66=700," семьсот",IF(J66=800," восемьсот",IF(J66=900," девятьсот","")))</f>
      </c>
      <c r="S83" s="133">
        <f>IF(SUM(V67:V70)=0,PROPER(U83),U83)</f>
      </c>
      <c r="T83" s="133">
        <v>12</v>
      </c>
      <c r="U83" s="139">
        <f>V83&amp;W83</f>
      </c>
      <c r="V83" s="133">
        <f>IF(V66=100," сто",IF(V66=200," двести",IF(V66=300," триста",IF(V66=400," четыреста",IF(V66=500," пятьсот",IF(V66=600," шестьсот",""))))))</f>
      </c>
      <c r="W83" s="133">
        <f>IF(V66=700," семьсот",IF(V66=800," восемьсот",IF(V66=900," девятьсот","")))</f>
      </c>
      <c r="AF83" s="133">
        <f>IF(SUM(AI67:AI70)=0,PROPER(AH83),AH83)</f>
      </c>
      <c r="AG83" s="133">
        <v>12</v>
      </c>
      <c r="AH83" s="139">
        <f>AI83&amp;AJ83</f>
      </c>
      <c r="AI83" s="133">
        <f>IF(AI66=100," сто",IF(AI66=200," двести",IF(AI66=300," триста",IF(AI66=400," четыреста",IF(AI66=500," пятьсот",IF(AI66=600," шестьсот",""))))))</f>
      </c>
      <c r="AJ83" s="133">
        <f>IF(AI66=700," семьсот",IF(AI66=800," восемьсот",IF(AI66=900," девятьсот","")))</f>
      </c>
      <c r="AS83" s="133">
        <f>IF(SUM(AV67:AV70)=0,PROPER(AU83),AU83)</f>
      </c>
      <c r="AT83" s="133">
        <v>12</v>
      </c>
      <c r="AU83" s="139">
        <f>AV83&amp;AW83</f>
      </c>
      <c r="AV83" s="133">
        <f>IF(AV66=100," сто",IF(AV66=200," двести",IF(AV66=300," триста",IF(AV66=400," четыреста",IF(AV66=500," пятьсот",IF(AV66=600," шестьсот",""))))))</f>
      </c>
      <c r="AW83" s="133">
        <f>IF(AV66=700," семьсот",IF(AV66=800," восемьсот",IF(AV66=900," девятьсот","")))</f>
      </c>
    </row>
    <row r="84" spans="7:50" s="133" customFormat="1" ht="12" customHeight="1" hidden="1">
      <c r="G84" s="133">
        <f>IF(SUM(J68:J70)=0,PROPER(I84),I84)</f>
      </c>
      <c r="H84" s="133">
        <v>13</v>
      </c>
      <c r="I84" s="139">
        <f>IF(AND(J68&lt;20,J68&gt;10),"",J84&amp;K84)</f>
      </c>
      <c r="J84" s="133">
        <f>IF(J67=1," один",IF(J67=2," два",IF(J67=3," три",IF(J67=4," четыре",IF(J67=5," пять",IF(J67=6," шесть",IF(J67=7," семь","")))))))</f>
      </c>
      <c r="K84" s="133">
        <f>IF(J67=8," восемь",IF(J67=9," девять",""))</f>
      </c>
      <c r="L84" s="133">
        <f>IF(AND(I84="",I85="",I86="",I87=""),"",IF(AND(J68&lt;20,J68&gt;10)," миллиардов",IF(J67=1," миллиард",IF(OR(J67=2,J67=3,J67=4)," миллиарда"," миллиардов"))))</f>
      </c>
      <c r="S84" s="133">
        <f>IF(SUM(V68:V70)=0,PROPER(U84),U84)</f>
      </c>
      <c r="T84" s="133">
        <v>13</v>
      </c>
      <c r="U84" s="139">
        <f>IF(AND(V68&lt;20,V68&gt;10),"",V84&amp;W84)</f>
      </c>
      <c r="V84" s="133">
        <f>IF(V67=1," один",IF(V67=2," два",IF(V67=3," три",IF(V67=4," четыре",IF(V67=5," пять",IF(V67=6," шесть",IF(V67=7," семь","")))))))</f>
      </c>
      <c r="W84" s="133">
        <f>IF(V67=8," восемь",IF(V67=9," девять",""))</f>
      </c>
      <c r="X84" s="133">
        <f>IF(AND(U84="",U85="",U86="",U87=""),"",IF(AND(V68&lt;20,V68&gt;10)," миллиардов",IF(V67=1," миллиард",IF(OR(V67=2,V67=3,V67=4)," миллиарда"," миллиардов"))))</f>
      </c>
      <c r="AF84" s="133">
        <f>IF(SUM(AI68:AI70)=0,PROPER(AH84),AH84)</f>
      </c>
      <c r="AG84" s="133">
        <v>13</v>
      </c>
      <c r="AH84" s="139">
        <f>IF(AND(AI68&lt;20,AI68&gt;10),"",AI84&amp;AJ84)</f>
      </c>
      <c r="AI84" s="133">
        <f>IF(AI67=1," один",IF(AI67=2," два",IF(AI67=3," три",IF(AI67=4," четыре",IF(AI67=5," пять",IF(AI67=6," шесть",IF(AI67=7," семь","")))))))</f>
      </c>
      <c r="AJ84" s="133">
        <f>IF(AI67=8," восемь",IF(AI67=9," девять",""))</f>
      </c>
      <c r="AK84" s="133">
        <f>IF(AND(AH84="",AH85="",AH86="",AH87=""),"",IF(AND(AI68&lt;20,AI68&gt;10)," миллиардов",IF(AI67=1," миллиард",IF(OR(AI67=2,AI67=3,AI67=4)," миллиарда"," миллиардов"))))</f>
      </c>
      <c r="AS84" s="133">
        <f>IF(SUM(AV68:AV70)=0,PROPER(AU84),AU84)</f>
      </c>
      <c r="AT84" s="133">
        <v>13</v>
      </c>
      <c r="AU84" s="139">
        <f>IF(AND(AV68&lt;20,AV68&gt;10),"",AV84&amp;AW84)</f>
      </c>
      <c r="AV84" s="133">
        <f>IF(AV67=1," один",IF(AV67=2," два",IF(AV67=3," три",IF(AV67=4," четыре",IF(AV67=5," пять",IF(AV67=6," шесть",IF(AV67=7," семь","")))))))</f>
      </c>
      <c r="AW84" s="133">
        <f>IF(AV67=8," восемь",IF(AV67=9," девять",""))</f>
      </c>
      <c r="AX84" s="133">
        <f>IF(AND(AU84="",AU85="",AU86="",AU87=""),"",IF(AND(AV68&lt;20,AV68&gt;10)," миллиардов",IF(AV67=1," миллиард",IF(OR(AV67=2,AV67=3,AV67=4)," миллиарда"," миллиардов"))))</f>
      </c>
    </row>
    <row r="85" spans="7:49" s="133" customFormat="1" ht="12" customHeight="1" hidden="1">
      <c r="G85" s="133">
        <f>IF(J70=0,PROPER(I85),I85)</f>
      </c>
      <c r="H85" s="133">
        <v>14</v>
      </c>
      <c r="I85" s="139">
        <f>J85&amp;K85</f>
      </c>
      <c r="J85" s="133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133">
        <f>IF(J68=18," восемнадцать",IF(J68=19," девятнадцать",""))</f>
      </c>
      <c r="S85" s="133">
        <f>IF(V70=0,PROPER(U85),U85)</f>
      </c>
      <c r="T85" s="133">
        <v>14</v>
      </c>
      <c r="U85" s="139">
        <f>V85&amp;W85</f>
      </c>
      <c r="V85" s="133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133">
        <f>IF(V68=18," восемнадцать",IF(V68=19," девятнадцать",""))</f>
      </c>
      <c r="AF85" s="133">
        <f>IF(AI70=0,PROPER(AH85),AH85)</f>
      </c>
      <c r="AG85" s="133">
        <v>14</v>
      </c>
      <c r="AH85" s="139">
        <f>AI85&amp;AJ85</f>
      </c>
      <c r="AI85" s="133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133">
        <f>IF(AI68=18," восемнадцать",IF(AI68=19," девятнадцать",""))</f>
      </c>
      <c r="AS85" s="133">
        <f>IF(AV70=0,PROPER(AU85),AU85)</f>
      </c>
      <c r="AT85" s="133">
        <v>14</v>
      </c>
      <c r="AU85" s="139">
        <f>AV85&amp;AW85</f>
      </c>
      <c r="AV85" s="133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133">
        <f>IF(AV68=18," восемнадцать",IF(AV68=19," девятнадцать",""))</f>
      </c>
    </row>
    <row r="86" spans="7:49" s="133" customFormat="1" ht="12" customHeight="1" hidden="1">
      <c r="G86" s="133">
        <f>IF(SUM(J70)=0,PROPER(I86),I86)</f>
      </c>
      <c r="H86" s="133">
        <v>15</v>
      </c>
      <c r="I86" s="139">
        <f>IF(AND(J68&lt;20,J68&gt;10),"",J86&amp;K86)</f>
      </c>
      <c r="J86" s="133">
        <f>IF(J69=10," десять",IF(J69=20," двадцать",IF(J69=30," тридцать",IF(J69=40," сорок",IF(J69=50," пятьдесят",IF(J69=60," шестьдесят",""))))))</f>
      </c>
      <c r="K86" s="133">
        <f>IF(J69=70," семьдесят",IF(J69=80," восемьдесят",IF(J69=90," девяносто","")))</f>
      </c>
      <c r="S86" s="133">
        <f>IF(SUM(V70)=0,PROPER(U86),U86)</f>
      </c>
      <c r="T86" s="133">
        <v>15</v>
      </c>
      <c r="U86" s="139">
        <f>IF(AND(V68&lt;20,V68&gt;10),"",V86&amp;W86)</f>
      </c>
      <c r="V86" s="133">
        <f>IF(V69=10," десять",IF(V69=20," двадцать",IF(V69=30," тридцать",IF(V69=40," сорок",IF(V69=50," пятьдесят",IF(V69=60," шестьдесят",""))))))</f>
      </c>
      <c r="W86" s="133">
        <f>IF(V69=70," семьдесят",IF(V69=80," восемьдесят",IF(V69=90," девяносто","")))</f>
      </c>
      <c r="AF86" s="133">
        <f>IF(SUM(AI70)=0,PROPER(AH86),AH86)</f>
      </c>
      <c r="AG86" s="133">
        <v>15</v>
      </c>
      <c r="AH86" s="139">
        <f>IF(AND(AI68&lt;20,AI68&gt;10),"",AI86&amp;AJ86)</f>
      </c>
      <c r="AI86" s="133">
        <f>IF(AI69=10," десять",IF(AI69=20," двадцать",IF(AI69=30," тридцать",IF(AI69=40," сорок",IF(AI69=50," пятьдесят",IF(AI69=60," шестьдесят",""))))))</f>
      </c>
      <c r="AJ86" s="133">
        <f>IF(AI69=70," семьдесят",IF(AI69=80," восемьдесят",IF(AI69=90," девяносто","")))</f>
      </c>
      <c r="AS86" s="133">
        <f>IF(SUM(AV70)=0,PROPER(AU86),AU86)</f>
      </c>
      <c r="AT86" s="133">
        <v>15</v>
      </c>
      <c r="AU86" s="139">
        <f>IF(AND(AV68&lt;20,AV68&gt;10),"",AV86&amp;AW86)</f>
      </c>
      <c r="AV86" s="133">
        <f>IF(AV69=10," десять",IF(AV69=20," двадцать",IF(AV69=30," тридцать",IF(AV69=40," сорок",IF(AV69=50," пятьдесят",IF(AV69=60," шестьдесят",""))))))</f>
      </c>
      <c r="AW86" s="133">
        <f>IF(AV69=70," семьдесят",IF(AV69=80," восемьдесят",IF(AV69=90," девяносто","")))</f>
      </c>
    </row>
    <row r="87" spans="7:49" s="133" customFormat="1" ht="12" customHeight="1" hidden="1">
      <c r="G87" s="133">
        <f>PROPER(I87)</f>
      </c>
      <c r="H87" s="133">
        <v>16</v>
      </c>
      <c r="I87" s="139">
        <f>J87&amp;K87</f>
      </c>
      <c r="J87" s="133">
        <f>IF(J70=100," сто",IF(J70=200," двести",IF(J70=300," триста",IF(J70=400," четыреста",IF(J70=500," пятьсот",IF(J70=600," шестьсот",""))))))</f>
      </c>
      <c r="K87" s="133">
        <f>IF(J70=700," семьсот",IF(J70=800," восемьсот",IF(J70=900," девятьсот","")))</f>
      </c>
      <c r="S87" s="133">
        <f>PROPER(U87)</f>
      </c>
      <c r="T87" s="133">
        <v>16</v>
      </c>
      <c r="U87" s="139">
        <f>V87&amp;W87</f>
      </c>
      <c r="V87" s="133">
        <f>IF(V70=100," сто",IF(V70=200," двести",IF(V70=300," триста",IF(V70=400," четыреста",IF(V70=500," пятьсот",IF(V70=600," шестьсот",""))))))</f>
      </c>
      <c r="W87" s="133">
        <f>IF(V70=700," семьсот",IF(V70=800," восемьсот",IF(V70=900," девятьсот","")))</f>
      </c>
      <c r="AF87" s="133">
        <f>PROPER(AH87)</f>
      </c>
      <c r="AG87" s="133">
        <v>16</v>
      </c>
      <c r="AH87" s="139">
        <f>AI87&amp;AJ87</f>
      </c>
      <c r="AI87" s="133">
        <f>IF(AI70=100," сто",IF(AI70=200," двести",IF(AI70=300," триста",IF(AI70=400," четыреста",IF(AI70=500," пятьсот",IF(AI70=600," шестьсот",""))))))</f>
      </c>
      <c r="AJ87" s="133">
        <f>IF(AI70=700," семьсот",IF(AI70=800," восемьсот",IF(AI70=900," девятьсот","")))</f>
      </c>
      <c r="AS87" s="133">
        <f>PROPER(AU87)</f>
      </c>
      <c r="AT87" s="133">
        <v>16</v>
      </c>
      <c r="AU87" s="139">
        <f>AV87&amp;AW87</f>
      </c>
      <c r="AV87" s="133">
        <f>IF(AV70=100," сто",IF(AV70=200," двести",IF(AV70=300," триста",IF(AV70=400," четыреста",IF(AV70=500," пятьсот",IF(AV70=600," шестьсот",""))))))</f>
      </c>
      <c r="AW87" s="133">
        <f>IF(AV70=700," семьсот",IF(AV70=800," восемьсот",IF(AV70=900," девятьсот","")))</f>
      </c>
    </row>
    <row r="88" s="133" customFormat="1" ht="12" customHeight="1" hidden="1"/>
    <row r="89" s="133" customFormat="1" ht="12" customHeight="1" hidden="1">
      <c r="I89" s="137"/>
    </row>
    <row r="90" spans="4:48" s="133" customFormat="1" ht="12" customHeight="1" hidden="1">
      <c r="D90" s="133">
        <f>IF(D93&lt;=D94,"",MID(I107,D91+1,90))</f>
      </c>
      <c r="I90" s="134">
        <f>INT(J90)</f>
        <v>796</v>
      </c>
      <c r="J90" s="134">
        <f>'Счет-фактура'!AD47</f>
        <v>796.05</v>
      </c>
      <c r="P90" s="133">
        <f>IF(P93&lt;=P94,"",MID(U107,P91+1,90))</f>
      </c>
      <c r="U90" s="135">
        <f>INT(V90)</f>
        <v>796</v>
      </c>
      <c r="V90" s="135">
        <f>'Счет-фактура'!AD47</f>
        <v>796.05</v>
      </c>
      <c r="AC90" s="133">
        <f>IF(AC93&lt;=AC94,"",MID(AH107,AC91+1,90))</f>
      </c>
      <c r="AH90" s="134">
        <f>INT(AI90)</f>
        <v>796</v>
      </c>
      <c r="AI90" s="134">
        <f>'Счет-фактура'!AD47</f>
        <v>796.05</v>
      </c>
      <c r="AP90" s="133">
        <f>IF(AP93&lt;=AP94,"",MID(AU107,AP91+1,90))</f>
      </c>
      <c r="AU90" s="134">
        <f>INT(AV90)</f>
        <v>796</v>
      </c>
      <c r="AV90" s="134">
        <f>'Счет-фактура'!AD47</f>
        <v>796.05</v>
      </c>
    </row>
    <row r="91" spans="4:48" s="133" customFormat="1" ht="12" customHeight="1" hidden="1">
      <c r="D91" s="133" t="e">
        <f>FIND(" ",I107,80)</f>
        <v>#VALUE!</v>
      </c>
      <c r="H91" s="133">
        <v>1</v>
      </c>
      <c r="I91" s="136">
        <f>I90-INT(I90/10)*10</f>
        <v>6</v>
      </c>
      <c r="J91" s="135">
        <f>ROUND((J90-I90)*100,0)</f>
        <v>5</v>
      </c>
      <c r="P91" s="133" t="e">
        <f>FIND(" ",U107,80)</f>
        <v>#VALUE!</v>
      </c>
      <c r="T91" s="133">
        <v>1</v>
      </c>
      <c r="U91" s="136">
        <f>U90-INT(U90/10)*10</f>
        <v>6</v>
      </c>
      <c r="V91" s="135">
        <f>ROUND((V90-U90)*100,0)</f>
        <v>5</v>
      </c>
      <c r="AC91" s="133" t="e">
        <f>FIND(" ",AH107,80)</f>
        <v>#VALUE!</v>
      </c>
      <c r="AG91" s="133">
        <v>1</v>
      </c>
      <c r="AH91" s="136">
        <f>AH90-INT(AH90/10)*10</f>
        <v>6</v>
      </c>
      <c r="AI91" s="135">
        <f>ROUND((AI90-AH90)*100,0)</f>
        <v>5</v>
      </c>
      <c r="AP91" s="133" t="e">
        <f>FIND(" ",AU107,80)</f>
        <v>#VALUE!</v>
      </c>
      <c r="AT91" s="133">
        <v>1</v>
      </c>
      <c r="AU91" s="136">
        <f>AU90-INT(AU90/10)*10</f>
        <v>6</v>
      </c>
      <c r="AV91" s="135">
        <f>ROUND((AV90-AU90)*100,0)</f>
        <v>5</v>
      </c>
    </row>
    <row r="92" spans="4:48" s="133" customFormat="1" ht="12" customHeight="1" hidden="1">
      <c r="D92" s="133" t="str">
        <f>IF(D93&gt;D94,LEFT(I107,D91-1),LEFT(I107,90))</f>
        <v> Семьсот девяносто шесть белорусских рублей 05 копеек</v>
      </c>
      <c r="H92" s="133">
        <v>2</v>
      </c>
      <c r="I92" s="137">
        <f>IF(AND(I91+I93&gt;=11,I91+I93&lt;=19),I91+I93,0)</f>
        <v>0</v>
      </c>
      <c r="J92" s="137">
        <f>INT(J91)</f>
        <v>5</v>
      </c>
      <c r="P92" s="133" t="str">
        <f>IF(P93&gt;P94,LEFT(U107,P91-1),LEFT(U107,90))</f>
        <v> Семьсот девяносто шесть российских рублей 05 копеек</v>
      </c>
      <c r="T92" s="133">
        <v>2</v>
      </c>
      <c r="U92" s="137">
        <f>IF(AND(U91+U93&gt;=11,U91+U93&lt;=19),U91+U93,0)</f>
        <v>0</v>
      </c>
      <c r="V92" s="137">
        <f>INT(V91)</f>
        <v>5</v>
      </c>
      <c r="AC92" s="133" t="str">
        <f>IF(AC93&gt;AC94,LEFT(AH107,AC91-1),LEFT(AH107,90))</f>
        <v> Семьсот девяносто шесть долларов 05 центов</v>
      </c>
      <c r="AG92" s="133">
        <v>2</v>
      </c>
      <c r="AH92" s="137">
        <f>IF(AND(AH91+AH93&gt;=11,AH91+AH93&lt;=19),AH91+AH93,0)</f>
        <v>0</v>
      </c>
      <c r="AI92" s="137">
        <f>INT(AI91)</f>
        <v>5</v>
      </c>
      <c r="AP92" s="133" t="str">
        <f>IF(AP93&gt;AP94,LEFT(AU107,AP91-1),LEFT(AU107,90))</f>
        <v> Семьсот девяносто шесть евро 05 евроцентов</v>
      </c>
      <c r="AT92" s="133">
        <v>2</v>
      </c>
      <c r="AU92" s="137">
        <f>IF(AND(AU91+AU93&gt;=11,AU91+AU93&lt;=19),AU91+AU93,0)</f>
        <v>0</v>
      </c>
      <c r="AV92" s="137">
        <f>INT(AV91)</f>
        <v>5</v>
      </c>
    </row>
    <row r="93" spans="4:48" s="133" customFormat="1" ht="12" customHeight="1" hidden="1">
      <c r="D93" s="133">
        <f>LEN(I107)</f>
        <v>53</v>
      </c>
      <c r="H93" s="133">
        <v>3</v>
      </c>
      <c r="I93" s="137">
        <f>I90-INT(I90/100)*100-I91</f>
        <v>90</v>
      </c>
      <c r="J93" s="137">
        <f>IF(J92=0,"",J92-INT(J92/10)*10)</f>
        <v>5</v>
      </c>
      <c r="P93" s="133">
        <f>LEN(U107)</f>
        <v>52</v>
      </c>
      <c r="T93" s="133">
        <v>3</v>
      </c>
      <c r="U93" s="137">
        <f>U90-INT(U90/100)*100-U91</f>
        <v>90</v>
      </c>
      <c r="V93" s="137">
        <f>IF(V92=0,"",V92-INT(V92/10)*10)</f>
        <v>5</v>
      </c>
      <c r="AC93" s="133">
        <f>LEN(AH107)</f>
        <v>43</v>
      </c>
      <c r="AG93" s="133">
        <v>3</v>
      </c>
      <c r="AH93" s="137">
        <f>AH90-INT(AH90/100)*100-AH91</f>
        <v>90</v>
      </c>
      <c r="AI93" s="137">
        <f>IF(AI92=0,"",AI92-INT(AI92/10)*10)</f>
        <v>5</v>
      </c>
      <c r="AP93" s="133">
        <f>LEN(AU107)</f>
        <v>43</v>
      </c>
      <c r="AT93" s="133">
        <v>3</v>
      </c>
      <c r="AU93" s="137">
        <f>AU90-INT(AU90/100)*100-AU91</f>
        <v>90</v>
      </c>
      <c r="AV93" s="137">
        <f>IF(AV92=0,"",AV92-INT(AV92/10)*10)</f>
        <v>5</v>
      </c>
    </row>
    <row r="94" spans="4:50" s="133" customFormat="1" ht="12" customHeight="1" hidden="1">
      <c r="D94" s="133">
        <v>90</v>
      </c>
      <c r="H94" s="133">
        <v>4</v>
      </c>
      <c r="I94" s="137">
        <f>I90-INT(I90/1000)*1000-I93-I91</f>
        <v>700</v>
      </c>
      <c r="J94" s="138">
        <f>IF(J92=0,"",J92)</f>
        <v>5</v>
      </c>
      <c r="K94" s="133">
        <v>0</v>
      </c>
      <c r="L94" s="133" t="s">
        <v>79</v>
      </c>
      <c r="P94" s="133">
        <v>90</v>
      </c>
      <c r="T94" s="133">
        <v>4</v>
      </c>
      <c r="U94" s="137">
        <f>U90-INT(U90/1000)*1000-U93-U91</f>
        <v>700</v>
      </c>
      <c r="V94" s="138">
        <f>IF(V92=0,"",V92)</f>
        <v>5</v>
      </c>
      <c r="W94" s="133">
        <v>0</v>
      </c>
      <c r="X94" s="133" t="s">
        <v>79</v>
      </c>
      <c r="AC94" s="133">
        <v>90</v>
      </c>
      <c r="AG94" s="133">
        <v>4</v>
      </c>
      <c r="AH94" s="137">
        <f>AH90-INT(AH90/1000)*1000-AH93-AH91</f>
        <v>700</v>
      </c>
      <c r="AI94" s="138">
        <f>IF(AI92=0,"",AI92)</f>
        <v>5</v>
      </c>
      <c r="AJ94" s="133">
        <v>0</v>
      </c>
      <c r="AK94" s="133" t="s">
        <v>79</v>
      </c>
      <c r="AP94" s="133">
        <v>90</v>
      </c>
      <c r="AT94" s="133">
        <v>4</v>
      </c>
      <c r="AU94" s="137">
        <f>AU90-INT(AU90/1000)*1000-AU93-AU91</f>
        <v>700</v>
      </c>
      <c r="AV94" s="138">
        <f>IF(AV92=0,"",AV92)</f>
        <v>5</v>
      </c>
      <c r="AW94" s="133">
        <v>0</v>
      </c>
      <c r="AX94" s="133" t="s">
        <v>79</v>
      </c>
    </row>
    <row r="95" spans="8:48" s="133" customFormat="1" ht="12" customHeight="1" hidden="1">
      <c r="H95" s="133">
        <v>5</v>
      </c>
      <c r="I95" s="137">
        <f>I90-INT(I90/10000)*10000-I93-I91-I94</f>
        <v>0</v>
      </c>
      <c r="J95" s="133">
        <f>I95/1000</f>
        <v>0</v>
      </c>
      <c r="T95" s="133">
        <v>5</v>
      </c>
      <c r="U95" s="137">
        <f>U90-INT(U90/10000)*10000-U93-U91-U94</f>
        <v>0</v>
      </c>
      <c r="V95" s="133">
        <f>U95/1000</f>
        <v>0</v>
      </c>
      <c r="AG95" s="133">
        <v>5</v>
      </c>
      <c r="AH95" s="137">
        <f>AH90-INT(AH90/10000)*10000-AH93-AH91-AH94</f>
        <v>0</v>
      </c>
      <c r="AI95" s="133">
        <f>AH95/1000</f>
        <v>0</v>
      </c>
      <c r="AT95" s="133">
        <v>5</v>
      </c>
      <c r="AU95" s="137">
        <f>AU90-INT(AU90/10000)*10000-AU93-AU91-AU94</f>
        <v>0</v>
      </c>
      <c r="AV95" s="133">
        <f>AU95/1000</f>
        <v>0</v>
      </c>
    </row>
    <row r="96" spans="8:48" s="133" customFormat="1" ht="12" customHeight="1" hidden="1">
      <c r="H96" s="133">
        <v>6</v>
      </c>
      <c r="J96" s="137">
        <f>IF(AND(J95+J97&gt;=11,J95+J97&lt;=19),J95+J97,0)</f>
        <v>0</v>
      </c>
      <c r="T96" s="133">
        <v>6</v>
      </c>
      <c r="V96" s="137">
        <f>IF(AND(V95+V97&gt;=11,V95+V97&lt;=19),V95+V97,0)</f>
        <v>0</v>
      </c>
      <c r="AG96" s="133">
        <v>6</v>
      </c>
      <c r="AI96" s="137">
        <f>IF(AND(AI95+AI97&gt;=11,AI95+AI97&lt;=19),AI95+AI97,0)</f>
        <v>0</v>
      </c>
      <c r="AT96" s="133">
        <v>6</v>
      </c>
      <c r="AV96" s="137">
        <f>IF(AND(AV95+AV97&gt;=11,AV95+AV97&lt;=19),AV95+AV97,0)</f>
        <v>0</v>
      </c>
    </row>
    <row r="97" spans="8:48" s="133" customFormat="1" ht="12" customHeight="1" hidden="1">
      <c r="H97" s="133">
        <v>7</v>
      </c>
      <c r="I97" s="137">
        <f>I90-INT(I90/100000)*100000-I93-I91-I94-I95</f>
        <v>0</v>
      </c>
      <c r="J97" s="133">
        <f>I97/1000</f>
        <v>0</v>
      </c>
      <c r="T97" s="133">
        <v>7</v>
      </c>
      <c r="U97" s="137">
        <f>U90-INT(U90/100000)*100000-U93-U91-U94-U95</f>
        <v>0</v>
      </c>
      <c r="V97" s="133">
        <f>U97/1000</f>
        <v>0</v>
      </c>
      <c r="AG97" s="133">
        <v>7</v>
      </c>
      <c r="AH97" s="137">
        <f>AH90-INT(AH90/100000)*100000-AH93-AH91-AH94-AH95</f>
        <v>0</v>
      </c>
      <c r="AI97" s="133">
        <f>AH97/1000</f>
        <v>0</v>
      </c>
      <c r="AT97" s="133">
        <v>7</v>
      </c>
      <c r="AU97" s="137">
        <f>AU90-INT(AU90/100000)*100000-AU93-AU91-AU94-AU95</f>
        <v>0</v>
      </c>
      <c r="AV97" s="133">
        <f>AU97/1000</f>
        <v>0</v>
      </c>
    </row>
    <row r="98" spans="8:48" s="133" customFormat="1" ht="12" customHeight="1" hidden="1">
      <c r="H98" s="133">
        <v>8</v>
      </c>
      <c r="I98" s="137">
        <f>I90-INT(I90/1000000)*1000000-I93-I91-I94-I95-I97</f>
        <v>0</v>
      </c>
      <c r="J98" s="133">
        <f>I98/1000</f>
        <v>0</v>
      </c>
      <c r="T98" s="133">
        <v>8</v>
      </c>
      <c r="U98" s="137">
        <f>U90-INT(U90/1000000)*1000000-U93-U91-U94-U95-U97</f>
        <v>0</v>
      </c>
      <c r="V98" s="133">
        <f>U98/1000</f>
        <v>0</v>
      </c>
      <c r="AG98" s="133">
        <v>8</v>
      </c>
      <c r="AH98" s="137">
        <f>AH90-INT(AH90/1000000)*1000000-AH93-AH91-AH94-AH95-AH97</f>
        <v>0</v>
      </c>
      <c r="AI98" s="133">
        <f>AH98/1000</f>
        <v>0</v>
      </c>
      <c r="AT98" s="133">
        <v>8</v>
      </c>
      <c r="AU98" s="137">
        <f>AU90-INT(AU90/1000000)*1000000-AU93-AU91-AU94-AU95-AU97</f>
        <v>0</v>
      </c>
      <c r="AV98" s="133">
        <f>AU98/1000</f>
        <v>0</v>
      </c>
    </row>
    <row r="99" spans="8:48" s="133" customFormat="1" ht="12" customHeight="1" hidden="1">
      <c r="H99" s="133">
        <v>9</v>
      </c>
      <c r="I99" s="137">
        <f>I90-INT(I90/10000000)*10000000-I93-I91-I94-I95-I97-I98</f>
        <v>0</v>
      </c>
      <c r="J99" s="133">
        <f>I99/1000000</f>
        <v>0</v>
      </c>
      <c r="T99" s="133">
        <v>9</v>
      </c>
      <c r="U99" s="137">
        <f>U90-INT(U90/10000000)*10000000-U93-U91-U94-U95-U97-U98</f>
        <v>0</v>
      </c>
      <c r="V99" s="133">
        <f>U99/1000000</f>
        <v>0</v>
      </c>
      <c r="AG99" s="133">
        <v>9</v>
      </c>
      <c r="AH99" s="137">
        <f>AH90-INT(AH90/10000000)*10000000-AH93-AH91-AH94-AH95-AH97-AH98</f>
        <v>0</v>
      </c>
      <c r="AI99" s="133">
        <f>AH99/1000000</f>
        <v>0</v>
      </c>
      <c r="AT99" s="133">
        <v>9</v>
      </c>
      <c r="AU99" s="137">
        <f>AU90-INT(AU90/10000000)*10000000-AU93-AU91-AU94-AU95-AU97-AU98</f>
        <v>0</v>
      </c>
      <c r="AV99" s="133">
        <f>AU99/1000000</f>
        <v>0</v>
      </c>
    </row>
    <row r="100" spans="8:48" s="133" customFormat="1" ht="12" customHeight="1" hidden="1">
      <c r="H100" s="133">
        <v>10</v>
      </c>
      <c r="J100" s="137">
        <f>IF(AND(J99+J101&gt;=11,J99+J101&lt;=19),J99+J101,0)</f>
        <v>0</v>
      </c>
      <c r="T100" s="133">
        <v>10</v>
      </c>
      <c r="V100" s="137">
        <f>IF(AND(V99+V101&gt;=11,V99+V101&lt;=19),V99+V101,0)</f>
        <v>0</v>
      </c>
      <c r="AG100" s="133">
        <v>10</v>
      </c>
      <c r="AI100" s="137">
        <f>IF(AND(AI99+AI101&gt;=11,AI99+AI101&lt;=19),AI99+AI101,0)</f>
        <v>0</v>
      </c>
      <c r="AT100" s="133">
        <v>10</v>
      </c>
      <c r="AV100" s="137">
        <f>IF(AND(AV99+AV101&gt;=11,AV99+AV101&lt;=19),AV99+AV101,0)</f>
        <v>0</v>
      </c>
    </row>
    <row r="101" spans="8:48" s="133" customFormat="1" ht="12" customHeight="1" hidden="1">
      <c r="H101" s="133">
        <v>11</v>
      </c>
      <c r="I101" s="137">
        <f>I90-INT(I90/100000000)*100000000-I93-I91-I94-I95-I97-I98-I99</f>
        <v>0</v>
      </c>
      <c r="J101" s="133">
        <f>I101/1000000</f>
        <v>0</v>
      </c>
      <c r="T101" s="133">
        <v>11</v>
      </c>
      <c r="U101" s="137">
        <f>U90-INT(U90/100000000)*100000000-U93-U91-U94-U95-U97-U98-U99</f>
        <v>0</v>
      </c>
      <c r="V101" s="133">
        <f>U101/1000000</f>
        <v>0</v>
      </c>
      <c r="AG101" s="133">
        <v>11</v>
      </c>
      <c r="AH101" s="137">
        <f>AH90-INT(AH90/100000000)*100000000-AH93-AH91-AH94-AH95-AH97-AH98-AH99</f>
        <v>0</v>
      </c>
      <c r="AI101" s="133">
        <f>AH101/1000000</f>
        <v>0</v>
      </c>
      <c r="AT101" s="133">
        <v>11</v>
      </c>
      <c r="AU101" s="137">
        <f>AU90-INT(AU90/100000000)*100000000-AU93-AU91-AU94-AU95-AU97-AU98-AU99</f>
        <v>0</v>
      </c>
      <c r="AV101" s="133">
        <f>AU101/1000000</f>
        <v>0</v>
      </c>
    </row>
    <row r="102" spans="8:48" s="133" customFormat="1" ht="12" customHeight="1" hidden="1">
      <c r="H102" s="133">
        <v>12</v>
      </c>
      <c r="I102" s="137">
        <f>I90-INT(I90/1000000000)*1000000000-I93-I91-I94-I95-I97-I98-I99-I101</f>
        <v>0</v>
      </c>
      <c r="J102" s="133">
        <f>I102/1000000</f>
        <v>0</v>
      </c>
      <c r="T102" s="133">
        <v>12</v>
      </c>
      <c r="U102" s="137">
        <f>U90-INT(U90/1000000000)*1000000000-U93-U91-U94-U95-U97-U98-U99-U101</f>
        <v>0</v>
      </c>
      <c r="V102" s="133">
        <f>U102/1000000</f>
        <v>0</v>
      </c>
      <c r="AG102" s="133">
        <v>12</v>
      </c>
      <c r="AH102" s="137">
        <f>AH90-INT(AH90/1000000000)*1000000000-AH93-AH91-AH94-AH95-AH97-AH98-AH99-AH101</f>
        <v>0</v>
      </c>
      <c r="AI102" s="133">
        <f>AH102/1000000</f>
        <v>0</v>
      </c>
      <c r="AT102" s="133">
        <v>12</v>
      </c>
      <c r="AU102" s="137">
        <f>AU90-INT(AU90/1000000000)*1000000000-AU93-AU91-AU94-AU95-AU97-AU98-AU99-AU101</f>
        <v>0</v>
      </c>
      <c r="AV102" s="133">
        <f>AU102/1000000</f>
        <v>0</v>
      </c>
    </row>
    <row r="103" spans="8:48" s="133" customFormat="1" ht="12" customHeight="1" hidden="1">
      <c r="H103" s="133">
        <v>13</v>
      </c>
      <c r="I103" s="137">
        <f>I90-INT(I90/10000000000)*10000000000-I93-I91-I94-I95-I97-I98-I99-I101-I102</f>
        <v>0</v>
      </c>
      <c r="J103" s="133">
        <f>I103/1000000000</f>
        <v>0</v>
      </c>
      <c r="T103" s="133">
        <v>13</v>
      </c>
      <c r="U103" s="137">
        <f>U90-INT(U90/10000000000)*10000000000-U93-U91-U94-U95-U97-U98-U99-U101-U102</f>
        <v>0</v>
      </c>
      <c r="V103" s="133">
        <f>U103/1000000000</f>
        <v>0</v>
      </c>
      <c r="AG103" s="133">
        <v>13</v>
      </c>
      <c r="AH103" s="137">
        <f>AH90-INT(AH90/10000000000)*10000000000-AH93-AH91-AH94-AH95-AH97-AH98-AH99-AH101-AH102</f>
        <v>0</v>
      </c>
      <c r="AI103" s="133">
        <f>AH103/1000000000</f>
        <v>0</v>
      </c>
      <c r="AT103" s="133">
        <v>13</v>
      </c>
      <c r="AU103" s="137">
        <f>AU90-INT(AU90/10000000000)*10000000000-AU93-AU91-AU94-AU95-AU97-AU98-AU99-AU101-AU102</f>
        <v>0</v>
      </c>
      <c r="AV103" s="133">
        <f>AU103/1000000000</f>
        <v>0</v>
      </c>
    </row>
    <row r="104" spans="8:48" s="133" customFormat="1" ht="12" customHeight="1" hidden="1">
      <c r="H104" s="133">
        <v>14</v>
      </c>
      <c r="I104" s="137"/>
      <c r="J104" s="137">
        <f>IF(AND(J103+J105&gt;=11,J103+J105&lt;=19),J103+J105,0)</f>
        <v>0</v>
      </c>
      <c r="T104" s="133">
        <v>14</v>
      </c>
      <c r="U104" s="137"/>
      <c r="V104" s="137">
        <f>IF(AND(V103+V105&gt;=11,V103+V105&lt;=19),V103+V105,0)</f>
        <v>0</v>
      </c>
      <c r="AG104" s="133">
        <v>14</v>
      </c>
      <c r="AH104" s="137"/>
      <c r="AI104" s="137">
        <f>IF(AND(AI103+AI105&gt;=11,AI103+AI105&lt;=19),AI103+AI105,0)</f>
        <v>0</v>
      </c>
      <c r="AT104" s="133">
        <v>14</v>
      </c>
      <c r="AU104" s="137"/>
      <c r="AV104" s="137">
        <f>IF(AND(AV103+AV105&gt;=11,AV103+AV105&lt;=19),AV103+AV105,0)</f>
        <v>0</v>
      </c>
    </row>
    <row r="105" spans="8:48" s="133" customFormat="1" ht="12" customHeight="1" hidden="1">
      <c r="H105" s="133">
        <v>15</v>
      </c>
      <c r="I105" s="137">
        <f>I90-INT(I90/100000000000)*100000000000-I93-I91-I94-I95-I97-I98-I99-I101-I102-I103</f>
        <v>0</v>
      </c>
      <c r="J105" s="133">
        <f>I105/1000000000</f>
        <v>0</v>
      </c>
      <c r="T105" s="133">
        <v>15</v>
      </c>
      <c r="U105" s="137">
        <f>U90-INT(U90/100000000000)*100000000000-U93-U91-U94-U95-U97-U98-U99-U101-U102-U103</f>
        <v>0</v>
      </c>
      <c r="V105" s="133">
        <f>U105/1000000000</f>
        <v>0</v>
      </c>
      <c r="AG105" s="133">
        <v>15</v>
      </c>
      <c r="AH105" s="137">
        <f>AH90-INT(AH90/100000000000)*100000000000-AH93-AH91-AH94-AH95-AH97-AH98-AH99-AH101-AH102-AH103</f>
        <v>0</v>
      </c>
      <c r="AI105" s="133">
        <f>AH105/1000000000</f>
        <v>0</v>
      </c>
      <c r="AT105" s="133">
        <v>15</v>
      </c>
      <c r="AU105" s="137">
        <f>AU90-INT(AU90/100000000000)*100000000000-AU93-AU91-AU94-AU95-AU97-AU98-AU99-AU101-AU102-AU103</f>
        <v>0</v>
      </c>
      <c r="AV105" s="133">
        <f>AU105/1000000000</f>
        <v>0</v>
      </c>
    </row>
    <row r="106" spans="8:48" s="133" customFormat="1" ht="12" customHeight="1" hidden="1">
      <c r="H106" s="133">
        <v>16</v>
      </c>
      <c r="I106" s="137">
        <f>I90-INT(I90/1000000000000)*1000000000000-I93-I91-I94-I95-I97-I98-I99-I101-I102-I103-I105</f>
        <v>0</v>
      </c>
      <c r="J106" s="133">
        <f>I106/1000000000</f>
        <v>0</v>
      </c>
      <c r="T106" s="133">
        <v>16</v>
      </c>
      <c r="U106" s="137">
        <f>U90-INT(U90/1000000000000)*1000000000000-U93-U91-U94-U95-U97-U98-U99-U101-U102-U103-U105</f>
        <v>0</v>
      </c>
      <c r="V106" s="133">
        <f>U106/1000000000</f>
        <v>0</v>
      </c>
      <c r="AG106" s="133">
        <v>16</v>
      </c>
      <c r="AH106" s="137">
        <f>AH90-INT(AH90/1000000000000)*1000000000000-AH93-AH91-AH94-AH95-AH97-AH98-AH99-AH101-AH102-AH103-AH105</f>
        <v>0</v>
      </c>
      <c r="AI106" s="133">
        <f>AH106/1000000000</f>
        <v>0</v>
      </c>
      <c r="AT106" s="133">
        <v>16</v>
      </c>
      <c r="AU106" s="137">
        <f>AU90-INT(AU90/1000000000000)*1000000000000-AU93-AU91-AU94-AU95-AU97-AU98-AU99-AU101-AU102-AU103-AU105</f>
        <v>0</v>
      </c>
      <c r="AV106" s="133">
        <f>AU106/1000000000</f>
        <v>0</v>
      </c>
    </row>
    <row r="107" spans="9:47" s="133" customFormat="1" ht="12" customHeight="1" hidden="1">
      <c r="I107" s="139" t="str">
        <f>IF(I90=0,"",IF(J94&lt;10,G123&amp;G122&amp;G121&amp;G120&amp;L120&amp;G119&amp;G118&amp;G117&amp;G116&amp;L116&amp;G115&amp;G114&amp;G113&amp;G112&amp;L112&amp;G111&amp;G110&amp;G109&amp;G108&amp;D112&amp;K94&amp;J94&amp;B112,G123&amp;G122&amp;G121&amp;G120&amp;L120&amp;G119&amp;G118&amp;G117&amp;G116&amp;L116&amp;G115&amp;G114&amp;G113&amp;G112&amp;L112&amp;G111&amp;G110&amp;G109&amp;G108&amp;D112&amp;J94&amp;B112))</f>
        <v> Семьсот девяносто шесть белорусских рублей 05 копеек</v>
      </c>
      <c r="U107" s="139" t="str">
        <f>IF(U90=0,"",IF(V94&lt;10,S123&amp;S122&amp;S121&amp;S120&amp;X120&amp;S119&amp;S118&amp;S117&amp;S116&amp;X116&amp;S115&amp;S114&amp;S113&amp;S112&amp;X112&amp;S111&amp;S110&amp;S109&amp;S108&amp;P112&amp;W94&amp;V94&amp;N112,S123&amp;S122&amp;S121&amp;S120&amp;X120&amp;S119&amp;S118&amp;S117&amp;S116&amp;X116&amp;S115&amp;S114&amp;S113&amp;S112&amp;X112&amp;S111&amp;S110&amp;S109&amp;S108&amp;P112&amp;V94&amp;N112))</f>
        <v> Семьсот девяносто шесть российских рублей 05 копеек</v>
      </c>
      <c r="AH107" s="139" t="str">
        <f>IF(AH90=0,"",IF(AI94&lt;10,AF123&amp;AF122&amp;AF121&amp;AF120&amp;AK120&amp;AF119&amp;AF118&amp;AF117&amp;AF116&amp;AK116&amp;AF115&amp;AF114&amp;AF113&amp;AF112&amp;AK112&amp;AF111&amp;AF110&amp;AF109&amp;AF108&amp;AC112&amp;AJ94&amp;AI94&amp;AA112,AF123&amp;AF122&amp;AF121&amp;AF120&amp;AK120&amp;AF119&amp;AF118&amp;AF117&amp;AF116&amp;AK116&amp;AF115&amp;AF114&amp;AF113&amp;AF112&amp;AK112&amp;AF111&amp;AF110&amp;AF109&amp;AF108&amp;AC112&amp;AI94&amp;AA112))</f>
        <v> Семьсот девяносто шесть долларов 05 центов</v>
      </c>
      <c r="AU107" s="139" t="str">
        <f>IF(AU90=0,"",IF(AV94&lt;10,AS123&amp;AS122&amp;AS121&amp;AS120&amp;AX120&amp;AS119&amp;AS118&amp;AS117&amp;AS116&amp;AX116&amp;AS115&amp;AS114&amp;AS113&amp;AS112&amp;AX112&amp;AS111&amp;AS110&amp;AS109&amp;AS108&amp;AP112&amp;AW94&amp;AV94&amp;AN112,AS123&amp;AS122&amp;AS121&amp;AS120&amp;AX120&amp;AS119&amp;AS118&amp;AS117&amp;AS116&amp;AX116&amp;AS115&amp;AS114&amp;AS113&amp;AS112&amp;AX112&amp;AS111&amp;AS110&amp;AS109&amp;AS108&amp;AP112&amp;AV94&amp;AN112))</f>
        <v> Семьсот девяносто шесть евро 05 евроцентов</v>
      </c>
    </row>
    <row r="108" spans="2:49" s="133" customFormat="1" ht="12" customHeight="1" hidden="1">
      <c r="B108" s="140">
        <f>IF(AND(J92&gt;=11,J92&lt;=19),"",IF(J93=1,C108,""))</f>
      </c>
      <c r="C108" s="133" t="s">
        <v>80</v>
      </c>
      <c r="D108" s="140">
        <f>IF(I92&gt;0,"",IF(I91=1,E108,""))</f>
      </c>
      <c r="E108" s="141" t="s">
        <v>81</v>
      </c>
      <c r="G108" s="133" t="str">
        <f>IF(SUM(I92:I106)=0,PROPER(I108),I108)</f>
        <v> шесть</v>
      </c>
      <c r="H108" s="133">
        <v>1</v>
      </c>
      <c r="I108" s="139" t="str">
        <f>IF(AND(I92&lt;20,I92&gt;10),"",J108&amp;K108)</f>
        <v> шесть</v>
      </c>
      <c r="J108" s="133" t="str">
        <f>IF(I91=1," один",IF(I91=2," два",IF(I91=3," три",IF(I91=4," четыре",IF(I91=5," пять",IF(I91=6," шесть",IF(I91=7," семь","")))))))</f>
        <v> шесть</v>
      </c>
      <c r="K108" s="133">
        <f>IF(I91=8," восемь",IF(I91=9," девять",""))</f>
      </c>
      <c r="N108" s="140">
        <f>IF(AND(V92&gt;=11,V92&lt;=19),"",IF(V93=1,O108,""))</f>
      </c>
      <c r="O108" s="133" t="s">
        <v>80</v>
      </c>
      <c r="P108" s="140">
        <f>IF(U92&gt;0,"",IF(U91=1,Q108,""))</f>
      </c>
      <c r="Q108" s="141" t="s">
        <v>82</v>
      </c>
      <c r="S108" s="133" t="str">
        <f>IF(SUM(U92:U106)=0,PROPER(U108),U108)</f>
        <v> шесть</v>
      </c>
      <c r="T108" s="133">
        <v>1</v>
      </c>
      <c r="U108" s="139" t="str">
        <f>IF(AND(U92&lt;20,U92&gt;10),"",V108&amp;W108)</f>
        <v> шесть</v>
      </c>
      <c r="V108" s="133" t="str">
        <f>IF(U91=1," один",IF(U91=2," два",IF(U91=3," три",IF(U91=4," четыре",IF(U91=5," пять",IF(U91=6," шесть",IF(U91=7," семь","")))))))</f>
        <v> шесть</v>
      </c>
      <c r="W108" s="133">
        <f>IF(U91=8," восемь",IF(U91=9," девять",""))</f>
      </c>
      <c r="AA108" s="140">
        <f>IF(AND(AI92&gt;=11,AI92&lt;=19),"",IF(AI93=1,AB108,""))</f>
      </c>
      <c r="AB108" s="133" t="s">
        <v>83</v>
      </c>
      <c r="AC108" s="140">
        <f>IF(AH92&gt;0,"",IF(AH91=1,AD108,""))</f>
      </c>
      <c r="AD108" s="141" t="s">
        <v>84</v>
      </c>
      <c r="AF108" s="133" t="str">
        <f>IF(SUM(AH92:AH106)=0,PROPER(AH108),AH108)</f>
        <v> шесть</v>
      </c>
      <c r="AG108" s="133">
        <v>1</v>
      </c>
      <c r="AH108" s="139" t="str">
        <f>IF(AND(AH92&lt;20,AH92&gt;10),"",AI108&amp;AJ108)</f>
        <v> шесть</v>
      </c>
      <c r="AI108" s="133" t="str">
        <f>IF(AH91=1," один",IF(AH91=2," два",IF(AH91=3," три",IF(AH91=4," четыре",IF(AH91=5," пять",IF(AH91=6," шесть",IF(AH91=7," семь","")))))))</f>
        <v> шесть</v>
      </c>
      <c r="AJ108" s="133">
        <f>IF(AH91=8," восемь",IF(AH91=9," девять",""))</f>
      </c>
      <c r="AN108" s="140">
        <f>IF(AND(AV92&gt;=11,AV92&lt;=19),"",IF(AV93=1,AO108,""))</f>
      </c>
      <c r="AO108" s="133" t="s">
        <v>85</v>
      </c>
      <c r="AP108" s="140"/>
      <c r="AQ108" s="141"/>
      <c r="AS108" s="133" t="str">
        <f>IF(SUM(AU92:AU106)=0,PROPER(AU108),AU108)</f>
        <v> шесть</v>
      </c>
      <c r="AT108" s="133">
        <v>1</v>
      </c>
      <c r="AU108" s="139" t="str">
        <f>IF(AND(AU92&lt;20,AU92&gt;10),"",AV108&amp;AW108)</f>
        <v> шесть</v>
      </c>
      <c r="AV108" s="133" t="str">
        <f>IF(AU91=1," один",IF(AU91=2," два",IF(AU91=3," три",IF(AU91=4," четыре",IF(AU91=5," пять",IF(AU91=6," шесть",IF(AU91=7," семь","")))))))</f>
        <v> шесть</v>
      </c>
      <c r="AW108" s="133">
        <f>IF(AU91=8," восемь",IF(AU91=9," девять",""))</f>
      </c>
    </row>
    <row r="109" spans="2:49" s="133" customFormat="1" ht="12" customHeight="1" hidden="1">
      <c r="B109" s="142">
        <f>IF(AND(J92&gt;=11,J92&lt;=19),"",IF(OR(J93=2,J93=3,J93=4),C109,""))</f>
      </c>
      <c r="C109" s="133" t="s">
        <v>86</v>
      </c>
      <c r="D109" s="142">
        <f>IF(I92&gt;0,"",IF(OR(I91=2,I91=3,I91=4),E109,""))</f>
      </c>
      <c r="E109" s="143" t="s">
        <v>87</v>
      </c>
      <c r="G109" s="133">
        <f>IF(SUM(I94:I106)=0,PROPER(I109),I109)</f>
      </c>
      <c r="H109" s="133">
        <v>2</v>
      </c>
      <c r="I109" s="139">
        <f>J109&amp;K109</f>
      </c>
      <c r="J109" s="133">
        <f>IF(I92=11," одиннадцать",IF(I92=12," двенадцать",IF(I92=13," тринадцать",IF(I92=14," четырнадцать",IF(I92=15," пятнадцать",IF(I92=16," шестнадцать",IF(I92=17," семнадцать","")))))))</f>
      </c>
      <c r="K109" s="133">
        <f>IF(I92=18," восемнадцать",IF(I92=19," девятнадцать",""))</f>
      </c>
      <c r="N109" s="142">
        <f>IF(AND(V92&gt;=11,V92&lt;=19),"",IF(OR(V93=2,V93=3,V93=4),O109,""))</f>
      </c>
      <c r="O109" s="133" t="s">
        <v>86</v>
      </c>
      <c r="P109" s="142">
        <f>IF(U92&gt;0,"",IF(OR(U91=2,U91=3,U91=4),Q109,""))</f>
      </c>
      <c r="Q109" s="143" t="s">
        <v>88</v>
      </c>
      <c r="S109" s="133">
        <f>IF(SUM(U94:U106)=0,PROPER(U109),U109)</f>
      </c>
      <c r="T109" s="133">
        <v>2</v>
      </c>
      <c r="U109" s="139">
        <f>V109&amp;W109</f>
      </c>
      <c r="V109" s="133">
        <f>IF(U92=11," одиннадцать",IF(U92=12," двенадцать",IF(U92=13," тринадцать",IF(U92=14," четырнадцать",IF(U92=15," пятнадцать",IF(U92=16," шестнадцать",IF(U92=17," семнадцать","")))))))</f>
      </c>
      <c r="W109" s="133">
        <f>IF(U92=18," восемнадцать",IF(U92=19," девятнадцать",""))</f>
      </c>
      <c r="AA109" s="142">
        <f>IF(AND(AI92&gt;=11,AI92&lt;=19),"",IF(OR(AI93=2,AI93=3,AI93=4),AB109,""))</f>
      </c>
      <c r="AB109" s="133" t="s">
        <v>89</v>
      </c>
      <c r="AC109" s="142">
        <f>IF(AH92&gt;0,"",IF(OR(AH91=2,AH91=3,AH91=4),AD109,""))</f>
      </c>
      <c r="AD109" s="143" t="s">
        <v>90</v>
      </c>
      <c r="AF109" s="133">
        <f>IF(SUM(AH94:AH106)=0,PROPER(AH109),AH109)</f>
      </c>
      <c r="AG109" s="133">
        <v>2</v>
      </c>
      <c r="AH109" s="139">
        <f>AI109&amp;AJ109</f>
      </c>
      <c r="AI109" s="133">
        <f>IF(AH92=11," одиннадцать",IF(AH92=12," двенадцать",IF(AH92=13," тринадцать",IF(AH92=14," четырнадцать",IF(AH92=15," пятнадцать",IF(AH92=16," шестнадцать",IF(AH92=17," семнадцать","")))))))</f>
      </c>
      <c r="AJ109" s="133">
        <f>IF(AH92=18," восемнадцать",IF(AH92=19," девятнадцать",""))</f>
      </c>
      <c r="AN109" s="142">
        <f>IF(AND(AV92&gt;=11,AV92&lt;=19),"",IF(OR(AV93=2,AV93=3,AV93=4),AO109,""))</f>
      </c>
      <c r="AO109" s="133" t="s">
        <v>91</v>
      </c>
      <c r="AP109" s="142"/>
      <c r="AQ109" s="143"/>
      <c r="AS109" s="133">
        <f>IF(SUM(AU94:AU106)=0,PROPER(AU109),AU109)</f>
      </c>
      <c r="AT109" s="133">
        <v>2</v>
      </c>
      <c r="AU109" s="139">
        <f>AV109&amp;AW109</f>
      </c>
      <c r="AV109" s="133">
        <f>IF(AU92=11," одиннадцать",IF(AU92=12," двенадцать",IF(AU92=13," тринадцать",IF(AU92=14," четырнадцать",IF(AU92=15," пятнадцать",IF(AU92=16," шестнадцать",IF(AU92=17," семнадцать","")))))))</f>
      </c>
      <c r="AW109" s="133">
        <f>IF(AU92=18," восемнадцать",IF(AU92=19," девятнадцать",""))</f>
      </c>
    </row>
    <row r="110" spans="2:49" s="133" customFormat="1" ht="12" customHeight="1" hidden="1">
      <c r="B110" s="142" t="str">
        <f>IF(AND(J92&gt;=11,J92&lt;=19),"",IF(OR(J93=0,J93=5,J93=6,J93=7,J93=8,J93=9),C110,""))</f>
        <v> копеек</v>
      </c>
      <c r="C110" s="133" t="s">
        <v>92</v>
      </c>
      <c r="D110" s="142" t="str">
        <f>IF(I92&gt;0,"",IF(OR(I91=0,I91=5,I91=6,I91=7,I91=8,I91=9),E110,""))</f>
        <v> белорусских рублей </v>
      </c>
      <c r="E110" s="143" t="s">
        <v>93</v>
      </c>
      <c r="G110" s="133" t="str">
        <f>IF(SUM(I94:I106)=0,PROPER(I110),I110)</f>
        <v> девяносто</v>
      </c>
      <c r="H110" s="133">
        <v>3</v>
      </c>
      <c r="I110" s="139" t="str">
        <f>IF(AND(I92&lt;20,I92&gt;10),"",J110&amp;K110)</f>
        <v> девяносто</v>
      </c>
      <c r="J110" s="133">
        <f>IF(I93=10," десять",IF(I93=20," двадцать",IF(I93=30," тридцать",IF(I93=40," сорок",IF(I93=50," пятьдесят",IF(I93=60," шестьдесят",""))))))</f>
      </c>
      <c r="K110" s="133" t="str">
        <f>IF(I93=70," семьдесят",IF(I93=80," восемьдесят",IF(I93=90," девяносто","")))</f>
        <v> девяносто</v>
      </c>
      <c r="N110" s="142" t="str">
        <f>IF(AND(V92&gt;=11,V92&lt;=19),"",IF(OR(V93=0,V93=5,V93=6,V93=7,V93=8,V93=9),O110,""))</f>
        <v> копеек</v>
      </c>
      <c r="O110" s="133" t="s">
        <v>92</v>
      </c>
      <c r="P110" s="142" t="str">
        <f>IF(U92&gt;0,"",IF(OR(U91=0,U91=5,U91=6,U91=7,U91=8,U91=9),Q110,""))</f>
        <v> российских рублей </v>
      </c>
      <c r="Q110" s="143" t="s">
        <v>94</v>
      </c>
      <c r="S110" s="133" t="str">
        <f>IF(SUM(U94:U106)=0,PROPER(U110),U110)</f>
        <v> девяносто</v>
      </c>
      <c r="T110" s="133">
        <v>3</v>
      </c>
      <c r="U110" s="139" t="str">
        <f>IF(AND(U92&lt;20,U92&gt;10),"",V110&amp;W110)</f>
        <v> девяносто</v>
      </c>
      <c r="V110" s="133">
        <f>IF(U93=10," десять",IF(U93=20," двадцать",IF(U93=30," тридцать",IF(U93=40," сорок",IF(U93=50," пятьдесят",IF(U93=60," шестьдесят",""))))))</f>
      </c>
      <c r="W110" s="133" t="str">
        <f>IF(U93=70," семьдесят",IF(U93=80," восемьдесят",IF(U93=90," девяносто","")))</f>
        <v> девяносто</v>
      </c>
      <c r="AA110" s="142" t="str">
        <f>IF(AND(AI92&gt;=11,AI92&lt;=19),"",IF(OR(AI93=0,AI93=5,AI93=6,AI93=7,AI93=8,AI93=9),AB110,""))</f>
        <v> центов</v>
      </c>
      <c r="AB110" s="133" t="s">
        <v>95</v>
      </c>
      <c r="AC110" s="142" t="str">
        <f>IF(AH92&gt;0,"",IF(OR(AH91=0,AH91=5,AH91=6,AH91=7,AH91=8,AH91=9),AD110,""))</f>
        <v> долларов </v>
      </c>
      <c r="AD110" s="143" t="s">
        <v>96</v>
      </c>
      <c r="AF110" s="133" t="str">
        <f>IF(SUM(AH94:AH106)=0,PROPER(AH110),AH110)</f>
        <v> девяносто</v>
      </c>
      <c r="AG110" s="133">
        <v>3</v>
      </c>
      <c r="AH110" s="139" t="str">
        <f>IF(AND(AH92&lt;20,AH92&gt;10),"",AI110&amp;AJ110)</f>
        <v> девяносто</v>
      </c>
      <c r="AI110" s="133">
        <f>IF(AH93=10," десять",IF(AH93=20," двадцать",IF(AH93=30," тридцать",IF(AH93=40," сорок",IF(AH93=50," пятьдесят",IF(AH93=60," шестьдесят",""))))))</f>
      </c>
      <c r="AJ110" s="133" t="str">
        <f>IF(AH93=70," семьдесят",IF(AH93=80," восемьдесят",IF(AH93=90," девяносто","")))</f>
        <v> девяносто</v>
      </c>
      <c r="AN110" s="142" t="str">
        <f>IF(AND(AV92&gt;=11,AV92&lt;=19),"",IF(OR(AV93=0,AV93=5,AV93=6,AV93=7,AV93=8,AV93=9),AO110,""))</f>
        <v> евроцентов</v>
      </c>
      <c r="AO110" s="133" t="s">
        <v>97</v>
      </c>
      <c r="AP110" s="142"/>
      <c r="AQ110" s="143"/>
      <c r="AS110" s="133" t="str">
        <f>IF(SUM(AU94:AU106)=0,PROPER(AU110),AU110)</f>
        <v> девяносто</v>
      </c>
      <c r="AT110" s="133">
        <v>3</v>
      </c>
      <c r="AU110" s="139" t="str">
        <f>IF(AND(AU92&lt;20,AU92&gt;10),"",AV110&amp;AW110)</f>
        <v> девяносто</v>
      </c>
      <c r="AV110" s="133">
        <f>IF(AU93=10," десять",IF(AU93=20," двадцать",IF(AU93=30," тридцать",IF(AU93=40," сорок",IF(AU93=50," пятьдесят",IF(AU93=60," шестьдесят",""))))))</f>
      </c>
      <c r="AW110" s="133" t="str">
        <f>IF(AU93=70," семьдесят",IF(AU93=80," восемьдесят",IF(AU93=90," девяносто","")))</f>
        <v> девяносто</v>
      </c>
    </row>
    <row r="111" spans="2:49" s="133" customFormat="1" ht="12" customHeight="1" hidden="1">
      <c r="B111" s="133">
        <f>IF(AND(J92&gt;=11,J92&lt;=19),C110,"")</f>
      </c>
      <c r="D111" s="133">
        <f>IF(AND(I92&gt;=11,I92&lt;=19),E110,"")</f>
      </c>
      <c r="E111" s="143"/>
      <c r="G111" s="133" t="str">
        <f>IF(SUM(J95:J106)=0,PROPER(I111),I111)</f>
        <v> Семьсот</v>
      </c>
      <c r="H111" s="133">
        <v>4</v>
      </c>
      <c r="I111" s="139" t="str">
        <f>J111&amp;K111</f>
        <v> семьсот</v>
      </c>
      <c r="J111" s="133">
        <f>IF(I94=100," сто",IF(I94=200," двести",IF(I94=300," триста",IF(I94=400," четыреста",IF(I94=500," пятьсот",IF(I94=600," шестьсот",""))))))</f>
      </c>
      <c r="K111" s="133" t="str">
        <f>IF(I94=700," семьсот",IF(I94=800," восемьсот",IF(I94=900," девятьсот","")))</f>
        <v> семьсот</v>
      </c>
      <c r="N111" s="133">
        <f>IF(AND(V92&gt;=11,V92&lt;=19),O110,"")</f>
      </c>
      <c r="P111" s="133">
        <f>IF(AND(U92&gt;=11,U92&lt;=19),Q110,"")</f>
      </c>
      <c r="Q111" s="143"/>
      <c r="S111" s="133" t="str">
        <f>IF(SUM(V95:V106)=0,PROPER(U111),U111)</f>
        <v> Семьсот</v>
      </c>
      <c r="T111" s="133">
        <v>4</v>
      </c>
      <c r="U111" s="139" t="str">
        <f>V111&amp;W111</f>
        <v> семьсот</v>
      </c>
      <c r="V111" s="133">
        <f>IF(U94=100," сто",IF(U94=200," двести",IF(U94=300," триста",IF(U94=400," четыреста",IF(U94=500," пятьсот",IF(U94=600," шестьсот",""))))))</f>
      </c>
      <c r="W111" s="133" t="str">
        <f>IF(U94=700," семьсот",IF(U94=800," восемьсот",IF(U94=900," девятьсот","")))</f>
        <v> семьсот</v>
      </c>
      <c r="AA111" s="133">
        <f>IF(AND(AI92&gt;=11,AI92&lt;=19),AB110,"")</f>
      </c>
      <c r="AC111" s="133">
        <f>IF(AND(AH92&gt;=11,AH92&lt;=19),AD110,"")</f>
      </c>
      <c r="AD111" s="143"/>
      <c r="AF111" s="133" t="str">
        <f>IF(SUM(AI95:AI106)=0,PROPER(AH111),AH111)</f>
        <v> Семьсот</v>
      </c>
      <c r="AG111" s="133">
        <v>4</v>
      </c>
      <c r="AH111" s="139" t="str">
        <f>AI111&amp;AJ111</f>
        <v> семьсот</v>
      </c>
      <c r="AI111" s="133">
        <f>IF(AH94=100," сто",IF(AH94=200," двести",IF(AH94=300," триста",IF(AH94=400," четыреста",IF(AH94=500," пятьсот",IF(AH94=600," шестьсот",""))))))</f>
      </c>
      <c r="AJ111" s="133" t="str">
        <f>IF(AH94=700," семьсот",IF(AH94=800," восемьсот",IF(AH94=900," девятьсот","")))</f>
        <v> семьсот</v>
      </c>
      <c r="AN111" s="133">
        <f>IF(AND(AV92&gt;=11,AV92&lt;=19),AO110,"")</f>
      </c>
      <c r="AQ111" s="143"/>
      <c r="AS111" s="133" t="str">
        <f>IF(SUM(AV95:AV106)=0,PROPER(AU111),AU111)</f>
        <v> Семьсот</v>
      </c>
      <c r="AT111" s="133">
        <v>4</v>
      </c>
      <c r="AU111" s="139" t="str">
        <f>AV111&amp;AW111</f>
        <v> семьсот</v>
      </c>
      <c r="AV111" s="133">
        <f>IF(AU94=100," сто",IF(AU94=200," двести",IF(AU94=300," триста",IF(AU94=400," четыреста",IF(AU94=500," пятьсот",IF(AU94=600," шестьсот",""))))))</f>
      </c>
      <c r="AW111" s="133" t="str">
        <f>IF(AU94=700," семьсот",IF(AU94=800," восемьсот",IF(AU94=900," девятьсот","")))</f>
        <v> семьсот</v>
      </c>
    </row>
    <row r="112" spans="2:50" s="133" customFormat="1" ht="12" customHeight="1" hidden="1">
      <c r="B112" s="141" t="str">
        <f>B108&amp;B109&amp;B110&amp;B111</f>
        <v> копеек</v>
      </c>
      <c r="D112" s="141" t="str">
        <f>D108&amp;D109&amp;D110&amp;D111</f>
        <v> белорусских рублей </v>
      </c>
      <c r="E112" s="141"/>
      <c r="G112" s="133">
        <f>IF(SUM(J96:J106)=0,PROPER(I112),I112)</f>
      </c>
      <c r="H112" s="133">
        <v>5</v>
      </c>
      <c r="I112" s="139">
        <f>IF(AND(J96&lt;20,J96&gt;10),"",J112&amp;K112)</f>
      </c>
      <c r="J112" s="133">
        <f>IF(J95=1," одна",IF(J95=2," две",IF(J95=3," три",IF(J95=4," четыре",IF(J95=5," пять",IF(J95=6," шесть",IF(J95=7," семь","")))))))</f>
      </c>
      <c r="K112" s="133">
        <f>IF(J95=8," восемь",IF(J95=9," девять",""))</f>
      </c>
      <c r="L112" s="133">
        <f>IF(AND(I112="",I113="",I114="",I115=""),"",IF(AND(J96&lt;20,J96&gt;10)," тысяч",IF(J95=1," тысяча",IF(OR(J95=2,J95=3,J95=4)," тысячи"," тысяч"))))</f>
      </c>
      <c r="N112" s="141" t="str">
        <f>N108&amp;N109&amp;N110&amp;N111</f>
        <v> копеек</v>
      </c>
      <c r="P112" s="141" t="str">
        <f>P108&amp;P109&amp;P110&amp;P111</f>
        <v> российских рублей </v>
      </c>
      <c r="Q112" s="141"/>
      <c r="S112" s="133">
        <f>IF(SUM(V96:V106)=0,PROPER(U112),U112)</f>
      </c>
      <c r="T112" s="133">
        <v>5</v>
      </c>
      <c r="U112" s="139">
        <f>IF(AND(V96&lt;20,V96&gt;10),"",V112&amp;W112)</f>
      </c>
      <c r="V112" s="133">
        <f>IF(V95=1," одна",IF(V95=2," две",IF(V95=3," три",IF(V95=4," четыре",IF(V95=5," пять",IF(V95=6," шесть",IF(V95=7," семь","")))))))</f>
      </c>
      <c r="W112" s="133">
        <f>IF(V95=8," восемь",IF(V95=9," девять",""))</f>
      </c>
      <c r="X112" s="133">
        <f>IF(AND(U112="",U113="",U114="",U115=""),"",IF(AND(V96&lt;20,V96&gt;10)," тысяч",IF(V95=1," тысяча",IF(OR(V95=2,V95=3,V95=4)," тысячи"," тысяч"))))</f>
      </c>
      <c r="AA112" s="141" t="str">
        <f>AA108&amp;AA109&amp;AA110&amp;AA111</f>
        <v> центов</v>
      </c>
      <c r="AC112" s="141" t="str">
        <f>AC108&amp;AC109&amp;AC110&amp;AC111</f>
        <v> долларов </v>
      </c>
      <c r="AD112" s="141"/>
      <c r="AF112" s="133">
        <f>IF(SUM(AI96:AI106)=0,PROPER(AH112),AH112)</f>
      </c>
      <c r="AG112" s="133">
        <v>5</v>
      </c>
      <c r="AH112" s="139">
        <f>IF(AND(AI96&lt;20,AI96&gt;10),"",AI112&amp;AJ112)</f>
      </c>
      <c r="AI112" s="133">
        <f>IF(AI95=1," одна",IF(AI95=2," две",IF(AI95=3," три",IF(AI95=4," четыре",IF(AI95=5," пять",IF(AI95=6," шесть",IF(AI95=7," семь","")))))))</f>
      </c>
      <c r="AJ112" s="133">
        <f>IF(AI95=8," восемь",IF(AI95=9," девять",""))</f>
      </c>
      <c r="AK112" s="133">
        <f>IF(AND(AH112="",AH113="",AH114="",AH115=""),"",IF(AND(AI96&lt;20,AI96&gt;10)," тысяч",IF(AI95=1," тысяча",IF(OR(AI95=2,AI95=3,AI95=4)," тысячи"," тысяч"))))</f>
      </c>
      <c r="AN112" s="141" t="str">
        <f>AN108&amp;AN109&amp;AN110&amp;AN111</f>
        <v> евроцентов</v>
      </c>
      <c r="AP112" s="141" t="s">
        <v>98</v>
      </c>
      <c r="AQ112" s="141"/>
      <c r="AS112" s="133">
        <f>IF(SUM(AV96:AV106)=0,PROPER(AU112),AU112)</f>
      </c>
      <c r="AT112" s="133">
        <v>5</v>
      </c>
      <c r="AU112" s="139">
        <f>IF(AND(AV96&lt;20,AV96&gt;10),"",AV112&amp;AW112)</f>
      </c>
      <c r="AV112" s="133">
        <f>IF(AV95=1," одна",IF(AV95=2," две",IF(AV95=3," три",IF(AV95=4," четыре",IF(AV95=5," пять",IF(AV95=6," шесть",IF(AV95=7," семь","")))))))</f>
      </c>
      <c r="AW112" s="133">
        <f>IF(AV95=8," восемь",IF(AV95=9," девять",""))</f>
      </c>
      <c r="AX112" s="133">
        <f>IF(AND(AU112="",AU113="",AU114="",AU115=""),"",IF(AND(AV96&lt;20,AV96&gt;10)," тысяч",IF(AV95=1," тысяча",IF(OR(AV95=2,AV95=3,AV95=4)," тысячи"," тысяч"))))</f>
      </c>
    </row>
    <row r="113" spans="4:49" s="133" customFormat="1" ht="12" customHeight="1" hidden="1">
      <c r="D113" s="140"/>
      <c r="E113" s="141"/>
      <c r="G113" s="133">
        <f>IF(SUM(J98:J106)=0,PROPER(I113),I113)</f>
      </c>
      <c r="H113" s="133">
        <v>6</v>
      </c>
      <c r="I113" s="139">
        <f>J113&amp;K113</f>
      </c>
      <c r="J113" s="133">
        <f>IF(J96=11," одиннадцать",IF(J96=12," двенадцать",IF(J96=13," тринадцать",IF(J96=14," четырнадцать",IF(J96=15," пятнадцать",IF(J96=16," шестнадцать",IF(J96=17," семнадцать","")))))))</f>
      </c>
      <c r="K113" s="133">
        <f>IF(J96=18," восемнадцать",IF(J96=19," девятнадцать",""))</f>
      </c>
      <c r="P113" s="140"/>
      <c r="Q113" s="141"/>
      <c r="S113" s="133">
        <f>IF(SUM(V98:V106)=0,PROPER(U113),U113)</f>
      </c>
      <c r="T113" s="133">
        <v>6</v>
      </c>
      <c r="U113" s="139">
        <f>V113&amp;W113</f>
      </c>
      <c r="V113" s="133">
        <f>IF(V96=11," одиннадцать",IF(V96=12," двенадцать",IF(V96=13," тринадцать",IF(V96=14," четырнадцать",IF(V96=15," пятнадцать",IF(V96=16," шестнадцать",IF(V96=17," семнадцать","")))))))</f>
      </c>
      <c r="W113" s="133">
        <f>IF(V96=18," восемнадцать",IF(V96=19," девятнадцать",""))</f>
      </c>
      <c r="AC113" s="140"/>
      <c r="AD113" s="141"/>
      <c r="AF113" s="133">
        <f>IF(SUM(AI98:AI106)=0,PROPER(AH113),AH113)</f>
      </c>
      <c r="AG113" s="133">
        <v>6</v>
      </c>
      <c r="AH113" s="139">
        <f>AI113&amp;AJ113</f>
      </c>
      <c r="AI113" s="133">
        <f>IF(AI96=11," одиннадцать",IF(AI96=12," двенадцать",IF(AI96=13," тринадцать",IF(AI96=14," четырнадцать",IF(AI96=15," пятнадцать",IF(AI96=16," шестнадцать",IF(AI96=17," семнадцать","")))))))</f>
      </c>
      <c r="AJ113" s="133">
        <f>IF(AI96=18," восемнадцать",IF(AI96=19," девятнадцать",""))</f>
      </c>
      <c r="AP113" s="140"/>
      <c r="AQ113" s="141"/>
      <c r="AS113" s="133">
        <f>IF(SUM(AV98:AV106)=0,PROPER(AU113),AU113)</f>
      </c>
      <c r="AT113" s="133">
        <v>6</v>
      </c>
      <c r="AU113" s="139">
        <f>AV113&amp;AW113</f>
      </c>
      <c r="AV113" s="133">
        <f>IF(AV96=11," одиннадцать",IF(AV96=12," двенадцать",IF(AV96=13," тринадцать",IF(AV96=14," четырнадцать",IF(AV96=15," пятнадцать",IF(AV96=16," шестнадцать",IF(AV96=17," семнадцать","")))))))</f>
      </c>
      <c r="AW113" s="133">
        <f>IF(AV96=18," восемнадцать",IF(AV96=19," девятнадцать",""))</f>
      </c>
    </row>
    <row r="114" spans="7:49" s="133" customFormat="1" ht="12" customHeight="1" hidden="1">
      <c r="G114" s="133">
        <f>IF(SUM(J98:J106)=0,PROPER(I114),I114)</f>
      </c>
      <c r="H114" s="133">
        <v>7</v>
      </c>
      <c r="I114" s="139">
        <f>IF(AND(J96&lt;20,J96&gt;10),"",J114&amp;K114)</f>
      </c>
      <c r="J114" s="133">
        <f>IF(J97=10," десять",IF(J97=20," двадцать",IF(J97=30," тридцать",IF(J97=40," сорок",IF(J97=50," пятьдесят",IF(J97=60," шестьдесят",""))))))</f>
      </c>
      <c r="K114" s="133">
        <f>IF(J97=70," семьдесят",IF(J97=80," восемьдесят",IF(J97=90," девяносто","")))</f>
      </c>
      <c r="S114" s="133">
        <f>IF(SUM(V98:V106)=0,PROPER(U114),U114)</f>
      </c>
      <c r="T114" s="133">
        <v>7</v>
      </c>
      <c r="U114" s="139">
        <f>IF(AND(V96&lt;20,V96&gt;10),"",V114&amp;W114)</f>
      </c>
      <c r="V114" s="133">
        <f>IF(V97=10," десять",IF(V97=20," двадцать",IF(V97=30," тридцать",IF(V97=40," сорок",IF(V97=50," пятьдесят",IF(V97=60," шестьдесят",""))))))</f>
      </c>
      <c r="W114" s="133">
        <f>IF(V97=70," семьдесят",IF(V97=80," восемьдесят",IF(V97=90," девяносто","")))</f>
      </c>
      <c r="AF114" s="133">
        <f>IF(SUM(AI98:AI106)=0,PROPER(AH114),AH114)</f>
      </c>
      <c r="AG114" s="133">
        <v>7</v>
      </c>
      <c r="AH114" s="139">
        <f>IF(AND(AI96&lt;20,AI96&gt;10),"",AI114&amp;AJ114)</f>
      </c>
      <c r="AI114" s="133">
        <f>IF(AI97=10," десять",IF(AI97=20," двадцать",IF(AI97=30," тридцать",IF(AI97=40," сорок",IF(AI97=50," пятьдесят",IF(AI97=60," шестьдесят",""))))))</f>
      </c>
      <c r="AJ114" s="133">
        <f>IF(AI97=70," семьдесят",IF(AI97=80," восемьдесят",IF(AI97=90," девяносто","")))</f>
      </c>
      <c r="AS114" s="133">
        <f>IF(SUM(AV98:AV106)=0,PROPER(AU114),AU114)</f>
      </c>
      <c r="AT114" s="133">
        <v>7</v>
      </c>
      <c r="AU114" s="139">
        <f>IF(AND(AV96&lt;20,AV96&gt;10),"",AV114&amp;AW114)</f>
      </c>
      <c r="AV114" s="133">
        <f>IF(AV97=10," десять",IF(AV97=20," двадцать",IF(AV97=30," тридцать",IF(AV97=40," сорок",IF(AV97=50," пятьдесят",IF(AV97=60," шестьдесят",""))))))</f>
      </c>
      <c r="AW114" s="133">
        <f>IF(AV97=70," семьдесят",IF(AV97=80," восемьдесят",IF(AV97=90," девяносто","")))</f>
      </c>
    </row>
    <row r="115" spans="7:49" s="133" customFormat="1" ht="12" customHeight="1" hidden="1">
      <c r="G115" s="133">
        <f>IF(SUM(J99:J106)=0,PROPER(I115),I115)</f>
      </c>
      <c r="H115" s="133">
        <v>8</v>
      </c>
      <c r="I115" s="139">
        <f>J115&amp;K115</f>
      </c>
      <c r="J115" s="133">
        <f>IF(J98=100," сто",IF(J98=200," двести",IF(J98=300," триста",IF(J98=400," четыреста",IF(J98=500," пятьсот",IF(J98=600," шестьсот",""))))))</f>
      </c>
      <c r="K115" s="133">
        <f>IF(J98=700," семьсот",IF(J98=800," восемьсот",IF(J98=900," девятьсот","")))</f>
      </c>
      <c r="S115" s="133">
        <f>IF(SUM(V99:V106)=0,PROPER(U115),U115)</f>
      </c>
      <c r="T115" s="133">
        <v>8</v>
      </c>
      <c r="U115" s="139">
        <f>V115&amp;W115</f>
      </c>
      <c r="V115" s="133">
        <f>IF(V98=100," сто",IF(V98=200," двести",IF(V98=300," триста",IF(V98=400," четыреста",IF(V98=500," пятьсот",IF(V98=600," шестьсот",""))))))</f>
      </c>
      <c r="W115" s="133">
        <f>IF(V98=700," семьсот",IF(V98=800," восемьсот",IF(V98=900," девятьсот","")))</f>
      </c>
      <c r="AF115" s="133">
        <f>IF(SUM(AI99:AI106)=0,PROPER(AH115),AH115)</f>
      </c>
      <c r="AG115" s="133">
        <v>8</v>
      </c>
      <c r="AH115" s="139">
        <f>AI115&amp;AJ115</f>
      </c>
      <c r="AI115" s="133">
        <f>IF(AI98=100," сто",IF(AI98=200," двести",IF(AI98=300," триста",IF(AI98=400," четыреста",IF(AI98=500," пятьсот",IF(AI98=600," шестьсот",""))))))</f>
      </c>
      <c r="AJ115" s="133">
        <f>IF(AI98=700," семьсот",IF(AI98=800," восемьсот",IF(AI98=900," девятьсот","")))</f>
      </c>
      <c r="AS115" s="133">
        <f>IF(SUM(AV99:AV106)=0,PROPER(AU115),AU115)</f>
      </c>
      <c r="AT115" s="133">
        <v>8</v>
      </c>
      <c r="AU115" s="139">
        <f>AV115&amp;AW115</f>
      </c>
      <c r="AV115" s="133">
        <f>IF(AV98=100," сто",IF(AV98=200," двести",IF(AV98=300," триста",IF(AV98=400," четыреста",IF(AV98=500," пятьсот",IF(AV98=600," шестьсот",""))))))</f>
      </c>
      <c r="AW115" s="133">
        <f>IF(AV98=700," семьсот",IF(AV98=800," восемьсот",IF(AV98=900," девятьсот","")))</f>
      </c>
    </row>
    <row r="116" spans="7:50" s="133" customFormat="1" ht="12" customHeight="1" hidden="1">
      <c r="G116" s="133">
        <f>IF(SUM(J100:J106)=0,PROPER(I116),I116)</f>
      </c>
      <c r="H116" s="133">
        <v>9</v>
      </c>
      <c r="I116" s="139">
        <f>IF(AND(J100&lt;20,J100&gt;10),"",J116&amp;K116)</f>
      </c>
      <c r="J116" s="133">
        <f>IF(J99=1," один",IF(J99=2," два",IF(J99=3," три",IF(J99=4," четыре",IF(J99=5," пять",IF(J99=6," шесть",IF(J99=7," семь","")))))))</f>
      </c>
      <c r="K116" s="133">
        <f>IF(J99=8," восемь",IF(J99=9," девять",""))</f>
      </c>
      <c r="L116" s="133">
        <f>IF(AND(I116="",I117="",I118="",I119=""),"",IF(AND(J100&lt;20,J100&gt;10)," миллионов",IF(J99=1," миллион",IF(OR(J99=2,J99=3,J99=4)," миллиона"," миллионов"))))</f>
      </c>
      <c r="S116" s="133">
        <f>IF(SUM(V100:V106)=0,PROPER(U116),U116)</f>
      </c>
      <c r="T116" s="133">
        <v>9</v>
      </c>
      <c r="U116" s="139">
        <f>IF(AND(V100&lt;20,V100&gt;10),"",V116&amp;W116)</f>
      </c>
      <c r="V116" s="133">
        <f>IF(V99=1," один",IF(V99=2," два",IF(V99=3," три",IF(V99=4," четыре",IF(V99=5," пять",IF(V99=6," шесть",IF(V99=7," семь","")))))))</f>
      </c>
      <c r="W116" s="133">
        <f>IF(V99=8," восемь",IF(V99=9," девять",""))</f>
      </c>
      <c r="X116" s="133">
        <f>IF(AND(U116="",U117="",U118="",U119=""),"",IF(AND(V100&lt;20,V100&gt;10)," миллионов",IF(V99=1," миллион",IF(OR(V99=2,V99=3,V99=4)," миллиона"," миллионов"))))</f>
      </c>
      <c r="AF116" s="133">
        <f>IF(SUM(AI100:AI106)=0,PROPER(AH116),AH116)</f>
      </c>
      <c r="AG116" s="133">
        <v>9</v>
      </c>
      <c r="AH116" s="139">
        <f>IF(AND(AI100&lt;20,AI100&gt;10),"",AI116&amp;AJ116)</f>
      </c>
      <c r="AI116" s="133">
        <f>IF(AI99=1," один",IF(AI99=2," два",IF(AI99=3," три",IF(AI99=4," четыре",IF(AI99=5," пять",IF(AI99=6," шесть",IF(AI99=7," семь","")))))))</f>
      </c>
      <c r="AJ116" s="133">
        <f>IF(AI99=8," восемь",IF(AI99=9," девять",""))</f>
      </c>
      <c r="AK116" s="133">
        <f>IF(AND(AH116="",AH117="",AH118="",AH119=""),"",IF(AND(AI100&lt;20,AI100&gt;10)," миллионов",IF(AI99=1," миллион",IF(OR(AI99=2,AI99=3,AI99=4)," миллиона"," миллионов"))))</f>
      </c>
      <c r="AS116" s="133">
        <f>IF(SUM(AV100:AV106)=0,PROPER(AU116),AU116)</f>
      </c>
      <c r="AT116" s="133">
        <v>9</v>
      </c>
      <c r="AU116" s="139">
        <f>IF(AND(AV100&lt;20,AV100&gt;10),"",AV116&amp;AW116)</f>
      </c>
      <c r="AV116" s="133">
        <f>IF(AV99=1," один",IF(AV99=2," два",IF(AV99=3," три",IF(AV99=4," четыре",IF(AV99=5," пять",IF(AV99=6," шесть",IF(AV99=7," семь","")))))))</f>
      </c>
      <c r="AW116" s="133">
        <f>IF(AV99=8," восемь",IF(AV99=9," девять",""))</f>
      </c>
      <c r="AX116" s="133">
        <f>IF(AND(AU116="",AU117="",AU118="",AU119=""),"",IF(AND(AV100&lt;20,AV100&gt;10)," миллионов",IF(AV99=1," миллион",IF(OR(AV99=2,AV99=3,AV99=4)," миллиона"," миллионов"))))</f>
      </c>
    </row>
    <row r="117" spans="7:49" s="133" customFormat="1" ht="12" customHeight="1" hidden="1">
      <c r="G117" s="133">
        <f>IF(SUM(J102:J106)=0,PROPER(I117),I117)</f>
      </c>
      <c r="H117" s="133">
        <v>10</v>
      </c>
      <c r="I117" s="139">
        <f>J117&amp;K117</f>
      </c>
      <c r="J117" s="133">
        <f>IF(J100=11," одиннадцать",IF(J100=12," двенадцать",IF(J100=13," тринадцать",IF(J100=14," четырнадцать",IF(J100=15," пятнадцать",IF(J100=16," шестнадцать",IF(J100=17," семнадцать","")))))))</f>
      </c>
      <c r="K117" s="133">
        <f>IF(J100=18," восемнадцать",IF(J100=19," девятнадцать",""))</f>
      </c>
      <c r="S117" s="133">
        <f>IF(SUM(V102:V106)=0,PROPER(U117),U117)</f>
      </c>
      <c r="T117" s="133">
        <v>10</v>
      </c>
      <c r="U117" s="139">
        <f>V117&amp;W117</f>
      </c>
      <c r="V117" s="133">
        <f>IF(V100=11," одиннадцать",IF(V100=12," двенадцать",IF(V100=13," тринадцать",IF(V100=14," четырнадцать",IF(V100=15," пятнадцать",IF(V100=16," шестнадцать",IF(V100=17," семнадцать","")))))))</f>
      </c>
      <c r="W117" s="133">
        <f>IF(V100=18," восемнадцать",IF(V100=19," девятнадцать",""))</f>
      </c>
      <c r="AF117" s="133">
        <f>IF(SUM(AI102:AI106)=0,PROPER(AH117),AH117)</f>
      </c>
      <c r="AG117" s="133">
        <v>10</v>
      </c>
      <c r="AH117" s="139">
        <f>AI117&amp;AJ117</f>
      </c>
      <c r="AI117" s="133">
        <f>IF(AI100=11," одиннадцать",IF(AI100=12," двенадцать",IF(AI100=13," тринадцать",IF(AI100=14," четырнадцать",IF(AI100=15," пятнадцать",IF(AI100=16," шестнадцать",IF(AI100=17," семнадцать","")))))))</f>
      </c>
      <c r="AJ117" s="133">
        <f>IF(AI100=18," восемнадцать",IF(AI100=19," девятнадцать",""))</f>
      </c>
      <c r="AS117" s="133">
        <f>IF(SUM(AV102:AV106)=0,PROPER(AU117),AU117)</f>
      </c>
      <c r="AT117" s="133">
        <v>10</v>
      </c>
      <c r="AU117" s="139">
        <f>AV117&amp;AW117</f>
      </c>
      <c r="AV117" s="133">
        <f>IF(AV100=11," одиннадцать",IF(AV100=12," двенадцать",IF(AV100=13," тринадцать",IF(AV100=14," четырнадцать",IF(AV100=15," пятнадцать",IF(AV100=16," шестнадцать",IF(AV100=17," семнадцать","")))))))</f>
      </c>
      <c r="AW117" s="133">
        <f>IF(AV100=18," восемнадцать",IF(AV100=19," девятнадцать",""))</f>
      </c>
    </row>
    <row r="118" spans="7:49" s="133" customFormat="1" ht="12" customHeight="1" hidden="1">
      <c r="G118" s="133">
        <f>IF(SUM(J102:J106)=0,PROPER(I118),I118)</f>
      </c>
      <c r="H118" s="133">
        <v>11</v>
      </c>
      <c r="I118" s="139">
        <f>IF(AND(J100&lt;20,J100&gt;10),"",J118&amp;K118)</f>
      </c>
      <c r="J118" s="133">
        <f>IF(J101=10," десять",IF(J101=20," двадцать",IF(J101=30," тридцать",IF(J101=40," сорок",IF(J101=50," пятьдесят",IF(J101=60," шестьдесят",""))))))</f>
      </c>
      <c r="K118" s="133">
        <f>IF(J101=70," семьдесят",IF(J101=80," восемьдесят",IF(J101=90," девяносто","")))</f>
      </c>
      <c r="S118" s="133">
        <f>IF(SUM(V102:V106)=0,PROPER(U118),U118)</f>
      </c>
      <c r="T118" s="133">
        <v>11</v>
      </c>
      <c r="U118" s="139">
        <f>IF(AND(V100&lt;20,V100&gt;10),"",V118&amp;W118)</f>
      </c>
      <c r="V118" s="133">
        <f>IF(V101=10," десять",IF(V101=20," двадцать",IF(V101=30," тридцать",IF(V101=40," сорок",IF(V101=50," пятьдесят",IF(V101=60," шестьдесят",""))))))</f>
      </c>
      <c r="W118" s="133">
        <f>IF(V101=70," семьдесят",IF(V101=80," восемьдесят",IF(V101=90," девяносто","")))</f>
      </c>
      <c r="AF118" s="133">
        <f>IF(SUM(AI102:AI106)=0,PROPER(AH118),AH118)</f>
      </c>
      <c r="AG118" s="133">
        <v>11</v>
      </c>
      <c r="AH118" s="139">
        <f>IF(AND(AI100&lt;20,AI100&gt;10),"",AI118&amp;AJ118)</f>
      </c>
      <c r="AI118" s="133">
        <f>IF(AI101=10," десять",IF(AI101=20," двадцать",IF(AI101=30," тридцать",IF(AI101=40," сорок",IF(AI101=50," пятьдесят",IF(AI101=60," шестьдесят",""))))))</f>
      </c>
      <c r="AJ118" s="133">
        <f>IF(AI101=70," семьдесят",IF(AI101=80," восемьдесят",IF(AI101=90," девяносто","")))</f>
      </c>
      <c r="AS118" s="133">
        <f>IF(SUM(AV102:AV106)=0,PROPER(AU118),AU118)</f>
      </c>
      <c r="AT118" s="133">
        <v>11</v>
      </c>
      <c r="AU118" s="139">
        <f>IF(AND(AV100&lt;20,AV100&gt;10),"",AV118&amp;AW118)</f>
      </c>
      <c r="AV118" s="133">
        <f>IF(AV101=10," десять",IF(AV101=20," двадцать",IF(AV101=30," тридцать",IF(AV101=40," сорок",IF(AV101=50," пятьдесят",IF(AV101=60," шестьдесят",""))))))</f>
      </c>
      <c r="AW118" s="133">
        <f>IF(AV101=70," семьдесят",IF(AV101=80," восемьдесят",IF(AV101=90," девяносто","")))</f>
      </c>
    </row>
    <row r="119" spans="7:49" s="133" customFormat="1" ht="12" customHeight="1" hidden="1">
      <c r="G119" s="133">
        <f>IF(SUM(J103:J106)=0,PROPER(I119),I119)</f>
      </c>
      <c r="H119" s="133">
        <v>12</v>
      </c>
      <c r="I119" s="139">
        <f>J119&amp;K119</f>
      </c>
      <c r="J119" s="133">
        <f>IF(J102=100," сто",IF(J102=200," двести",IF(J102=300," триста",IF(J102=400," четыреста",IF(J102=500," пятьсот",IF(J102=600," шестьсот",""))))))</f>
      </c>
      <c r="K119" s="133">
        <f>IF(J102=700," семьсот",IF(J102=800," восемьсот",IF(J102=900," девятьсот","")))</f>
      </c>
      <c r="S119" s="133">
        <f>IF(SUM(V103:V106)=0,PROPER(U119),U119)</f>
      </c>
      <c r="T119" s="133">
        <v>12</v>
      </c>
      <c r="U119" s="139">
        <f>V119&amp;W119</f>
      </c>
      <c r="V119" s="133">
        <f>IF(V102=100," сто",IF(V102=200," двести",IF(V102=300," триста",IF(V102=400," четыреста",IF(V102=500," пятьсот",IF(V102=600," шестьсот",""))))))</f>
      </c>
      <c r="W119" s="133">
        <f>IF(V102=700," семьсот",IF(V102=800," восемьсот",IF(V102=900," девятьсот","")))</f>
      </c>
      <c r="AF119" s="133">
        <f>IF(SUM(AI103:AI106)=0,PROPER(AH119),AH119)</f>
      </c>
      <c r="AG119" s="133">
        <v>12</v>
      </c>
      <c r="AH119" s="139">
        <f>AI119&amp;AJ119</f>
      </c>
      <c r="AI119" s="133">
        <f>IF(AI102=100," сто",IF(AI102=200," двести",IF(AI102=300," триста",IF(AI102=400," четыреста",IF(AI102=500," пятьсот",IF(AI102=600," шестьсот",""))))))</f>
      </c>
      <c r="AJ119" s="133">
        <f>IF(AI102=700," семьсот",IF(AI102=800," восемьсот",IF(AI102=900," девятьсот","")))</f>
      </c>
      <c r="AS119" s="133">
        <f>IF(SUM(AV103:AV106)=0,PROPER(AU119),AU119)</f>
      </c>
      <c r="AT119" s="133">
        <v>12</v>
      </c>
      <c r="AU119" s="139">
        <f>AV119&amp;AW119</f>
      </c>
      <c r="AV119" s="133">
        <f>IF(AV102=100," сто",IF(AV102=200," двести",IF(AV102=300," триста",IF(AV102=400," четыреста",IF(AV102=500," пятьсот",IF(AV102=600," шестьсот",""))))))</f>
      </c>
      <c r="AW119" s="133">
        <f>IF(AV102=700," семьсот",IF(AV102=800," восемьсот",IF(AV102=900," девятьсот","")))</f>
      </c>
    </row>
    <row r="120" spans="7:50" s="133" customFormat="1" ht="12" customHeight="1" hidden="1">
      <c r="G120" s="133">
        <f>IF(SUM(J104:J106)=0,PROPER(I120),I120)</f>
      </c>
      <c r="H120" s="133">
        <v>13</v>
      </c>
      <c r="I120" s="139">
        <f>IF(AND(J104&lt;20,J104&gt;10),"",J120&amp;K120)</f>
      </c>
      <c r="J120" s="133">
        <f>IF(J103=1," один",IF(J103=2," два",IF(J103=3," три",IF(J103=4," четыре",IF(J103=5," пять",IF(J103=6," шесть",IF(J103=7," семь","")))))))</f>
      </c>
      <c r="K120" s="133">
        <f>IF(J103=8," восемь",IF(J103=9," девять",""))</f>
      </c>
      <c r="L120" s="133">
        <f>IF(AND(I120="",I121="",I122="",I123=""),"",IF(AND(J104&lt;20,J104&gt;10)," миллиардов",IF(J103=1," миллиард",IF(OR(J103=2,J103=3,J103=4)," миллиарда"," миллиардов"))))</f>
      </c>
      <c r="S120" s="133">
        <f>IF(SUM(V104:V106)=0,PROPER(U120),U120)</f>
      </c>
      <c r="T120" s="133">
        <v>13</v>
      </c>
      <c r="U120" s="139">
        <f>IF(AND(V104&lt;20,V104&gt;10),"",V120&amp;W120)</f>
      </c>
      <c r="V120" s="133">
        <f>IF(V103=1," один",IF(V103=2," два",IF(V103=3," три",IF(V103=4," четыре",IF(V103=5," пять",IF(V103=6," шесть",IF(V103=7," семь","")))))))</f>
      </c>
      <c r="W120" s="133">
        <f>IF(V103=8," восемь",IF(V103=9," девять",""))</f>
      </c>
      <c r="X120" s="133">
        <f>IF(AND(U120="",U121="",U122="",U123=""),"",IF(AND(V104&lt;20,V104&gt;10)," миллиардов",IF(V103=1," миллиард",IF(OR(V103=2,V103=3,V103=4)," миллиарда"," миллиардов"))))</f>
      </c>
      <c r="AF120" s="133">
        <f>IF(SUM(AI104:AI106)=0,PROPER(AH120),AH120)</f>
      </c>
      <c r="AG120" s="133">
        <v>13</v>
      </c>
      <c r="AH120" s="139">
        <f>IF(AND(AI104&lt;20,AI104&gt;10),"",AI120&amp;AJ120)</f>
      </c>
      <c r="AI120" s="133">
        <f>IF(AI103=1," один",IF(AI103=2," два",IF(AI103=3," три",IF(AI103=4," четыре",IF(AI103=5," пять",IF(AI103=6," шесть",IF(AI103=7," семь","")))))))</f>
      </c>
      <c r="AJ120" s="133">
        <f>IF(AI103=8," восемь",IF(AI103=9," девять",""))</f>
      </c>
      <c r="AK120" s="133">
        <f>IF(AND(AH120="",AH121="",AH122="",AH123=""),"",IF(AND(AI104&lt;20,AI104&gt;10)," миллиардов",IF(AI103=1," миллиард",IF(OR(AI103=2,AI103=3,AI103=4)," миллиарда"," миллиардов"))))</f>
      </c>
      <c r="AS120" s="133">
        <f>IF(SUM(AV104:AV106)=0,PROPER(AU120),AU120)</f>
      </c>
      <c r="AT120" s="133">
        <v>13</v>
      </c>
      <c r="AU120" s="139">
        <f>IF(AND(AV104&lt;20,AV104&gt;10),"",AV120&amp;AW120)</f>
      </c>
      <c r="AV120" s="133">
        <f>IF(AV103=1," один",IF(AV103=2," два",IF(AV103=3," три",IF(AV103=4," четыре",IF(AV103=5," пять",IF(AV103=6," шесть",IF(AV103=7," семь","")))))))</f>
      </c>
      <c r="AW120" s="133">
        <f>IF(AV103=8," восемь",IF(AV103=9," девять",""))</f>
      </c>
      <c r="AX120" s="133">
        <f>IF(AND(AU120="",AU121="",AU122="",AU123=""),"",IF(AND(AV104&lt;20,AV104&gt;10)," миллиардов",IF(AV103=1," миллиард",IF(OR(AV103=2,AV103=3,AV103=4)," миллиарда"," миллиардов"))))</f>
      </c>
    </row>
    <row r="121" spans="7:49" s="133" customFormat="1" ht="12" customHeight="1" hidden="1">
      <c r="G121" s="133">
        <f>IF(J106=0,PROPER(I121),I121)</f>
      </c>
      <c r="H121" s="133">
        <v>14</v>
      </c>
      <c r="I121" s="139">
        <f>J121&amp;K121</f>
      </c>
      <c r="J121" s="133">
        <f>IF(J104=11," одиннадцать",IF(J104=12," двенадцать",IF(J104=13," тринадцать",IF(J104=14," четырнадцать",IF(J104=15," пятнадцать",IF(J104=16," шестнадцать",IF(J104=17," семнадцать","")))))))</f>
      </c>
      <c r="K121" s="133">
        <f>IF(J104=18," восемнадцать",IF(J104=19," девятнадцать",""))</f>
      </c>
      <c r="S121" s="133">
        <f>IF(V106=0,PROPER(U121),U121)</f>
      </c>
      <c r="T121" s="133">
        <v>14</v>
      </c>
      <c r="U121" s="139">
        <f>V121&amp;W121</f>
      </c>
      <c r="V121" s="133">
        <f>IF(V104=11," одиннадцать",IF(V104=12," двенадцать",IF(V104=13," тринадцать",IF(V104=14," четырнадцать",IF(V104=15," пятнадцать",IF(V104=16," шестнадцать",IF(V104=17," семнадцать","")))))))</f>
      </c>
      <c r="W121" s="133">
        <f>IF(V104=18," восемнадцать",IF(V104=19," девятнадцать",""))</f>
      </c>
      <c r="AF121" s="133">
        <f>IF(AI106=0,PROPER(AH121),AH121)</f>
      </c>
      <c r="AG121" s="133">
        <v>14</v>
      </c>
      <c r="AH121" s="139">
        <f>AI121&amp;AJ121</f>
      </c>
      <c r="AI121" s="133">
        <f>IF(AI104=11," одиннадцать",IF(AI104=12," двенадцать",IF(AI104=13," тринадцать",IF(AI104=14," четырнадцать",IF(AI104=15," пятнадцать",IF(AI104=16," шестнадцать",IF(AI104=17," семнадцать","")))))))</f>
      </c>
      <c r="AJ121" s="133">
        <f>IF(AI104=18," восемнадцать",IF(AI104=19," девятнадцать",""))</f>
      </c>
      <c r="AS121" s="133">
        <f>IF(AV106=0,PROPER(AU121),AU121)</f>
      </c>
      <c r="AT121" s="133">
        <v>14</v>
      </c>
      <c r="AU121" s="139">
        <f>AV121&amp;AW121</f>
      </c>
      <c r="AV121" s="133">
        <f>IF(AV104=11," одиннадцать",IF(AV104=12," двенадцать",IF(AV104=13," тринадцать",IF(AV104=14," четырнадцать",IF(AV104=15," пятнадцать",IF(AV104=16," шестнадцать",IF(AV104=17," семнадцать","")))))))</f>
      </c>
      <c r="AW121" s="133">
        <f>IF(AV104=18," восемнадцать",IF(AV104=19," девятнадцать",""))</f>
      </c>
    </row>
    <row r="122" spans="7:49" s="133" customFormat="1" ht="12" customHeight="1" hidden="1">
      <c r="G122" s="133">
        <f>IF(SUM(J106)=0,PROPER(I122),I122)</f>
      </c>
      <c r="H122" s="133">
        <v>15</v>
      </c>
      <c r="I122" s="139">
        <f>IF(AND(J104&lt;20,J104&gt;10),"",J122&amp;K122)</f>
      </c>
      <c r="J122" s="133">
        <f>IF(J105=10," десять",IF(J105=20," двадцать",IF(J105=30," тридцать",IF(J105=40," сорок",IF(J105=50," пятьдесят",IF(J105=60," шестьдесят",""))))))</f>
      </c>
      <c r="K122" s="133">
        <f>IF(J105=70," семьдесят",IF(J105=80," восемьдесят",IF(J105=90," девяносто","")))</f>
      </c>
      <c r="S122" s="133">
        <f>IF(SUM(V106)=0,PROPER(U122),U122)</f>
      </c>
      <c r="T122" s="133">
        <v>15</v>
      </c>
      <c r="U122" s="139">
        <f>IF(AND(V104&lt;20,V104&gt;10),"",V122&amp;W122)</f>
      </c>
      <c r="V122" s="133">
        <f>IF(V105=10," десять",IF(V105=20," двадцать",IF(V105=30," тридцать",IF(V105=40," сорок",IF(V105=50," пятьдесят",IF(V105=60," шестьдесят",""))))))</f>
      </c>
      <c r="W122" s="133">
        <f>IF(V105=70," семьдесят",IF(V105=80," восемьдесят",IF(V105=90," девяносто","")))</f>
      </c>
      <c r="AF122" s="133">
        <f>IF(SUM(AI106)=0,PROPER(AH122),AH122)</f>
      </c>
      <c r="AG122" s="133">
        <v>15</v>
      </c>
      <c r="AH122" s="139">
        <f>IF(AND(AI104&lt;20,AI104&gt;10),"",AI122&amp;AJ122)</f>
      </c>
      <c r="AI122" s="133">
        <f>IF(AI105=10," десять",IF(AI105=20," двадцать",IF(AI105=30," тридцать",IF(AI105=40," сорок",IF(AI105=50," пятьдесят",IF(AI105=60," шестьдесят",""))))))</f>
      </c>
      <c r="AJ122" s="133">
        <f>IF(AI105=70," семьдесят",IF(AI105=80," восемьдесят",IF(AI105=90," девяносто","")))</f>
      </c>
      <c r="AS122" s="133">
        <f>IF(SUM(AV106)=0,PROPER(AU122),AU122)</f>
      </c>
      <c r="AT122" s="133">
        <v>15</v>
      </c>
      <c r="AU122" s="139">
        <f>IF(AND(AV104&lt;20,AV104&gt;10),"",AV122&amp;AW122)</f>
      </c>
      <c r="AV122" s="133">
        <f>IF(AV105=10," десять",IF(AV105=20," двадцать",IF(AV105=30," тридцать",IF(AV105=40," сорок",IF(AV105=50," пятьдесят",IF(AV105=60," шестьдесят",""))))))</f>
      </c>
      <c r="AW122" s="133">
        <f>IF(AV105=70," семьдесят",IF(AV105=80," восемьдесят",IF(AV105=90," девяносто","")))</f>
      </c>
    </row>
    <row r="123" spans="7:49" s="133" customFormat="1" ht="12" customHeight="1" hidden="1">
      <c r="G123" s="133">
        <f>PROPER(I123)</f>
      </c>
      <c r="H123" s="133">
        <v>16</v>
      </c>
      <c r="I123" s="139">
        <f>J123&amp;K123</f>
      </c>
      <c r="J123" s="133">
        <f>IF(J106=100," сто",IF(J106=200," двести",IF(J106=300," триста",IF(J106=400," четыреста",IF(J106=500," пятьсот",IF(J106=600," шестьсот",""))))))</f>
      </c>
      <c r="K123" s="133">
        <f>IF(J106=700," семьсот",IF(J106=800," восемьсот",IF(J106=900," девятьсот","")))</f>
      </c>
      <c r="S123" s="133">
        <f>PROPER(U123)</f>
      </c>
      <c r="T123" s="133">
        <v>16</v>
      </c>
      <c r="U123" s="139">
        <f>V123&amp;W123</f>
      </c>
      <c r="V123" s="133">
        <f>IF(V106=100," сто",IF(V106=200," двести",IF(V106=300," триста",IF(V106=400," четыреста",IF(V106=500," пятьсот",IF(V106=600," шестьсот",""))))))</f>
      </c>
      <c r="W123" s="133">
        <f>IF(V106=700," семьсот",IF(V106=800," восемьсот",IF(V106=900," девятьсот","")))</f>
      </c>
      <c r="AF123" s="133">
        <f>PROPER(AH123)</f>
      </c>
      <c r="AG123" s="133">
        <v>16</v>
      </c>
      <c r="AH123" s="139">
        <f>AI123&amp;AJ123</f>
      </c>
      <c r="AI123" s="133">
        <f>IF(AI106=100," сто",IF(AI106=200," двести",IF(AI106=300," триста",IF(AI106=400," четыреста",IF(AI106=500," пятьсот",IF(AI106=600," шестьсот",""))))))</f>
      </c>
      <c r="AJ123" s="133">
        <f>IF(AI106=700," семьсот",IF(AI106=800," восемьсот",IF(AI106=900," девятьсот","")))</f>
      </c>
      <c r="AS123" s="133">
        <f>PROPER(AU123)</f>
      </c>
      <c r="AT123" s="133">
        <v>16</v>
      </c>
      <c r="AU123" s="139">
        <f>AV123&amp;AW123</f>
      </c>
      <c r="AV123" s="133">
        <f>IF(AV106=100," сто",IF(AV106=200," двести",IF(AV106=300," триста",IF(AV106=400," четыреста",IF(AV106=500," пятьсот",IF(AV106=600," шестьсот",""))))))</f>
      </c>
      <c r="AW123" s="133">
        <f>IF(AV106=700," семьсот",IF(AV106=800," восемьсот",IF(AV106=900," девятьсот","")))</f>
      </c>
    </row>
    <row r="124" s="133" customFormat="1" ht="12" customHeight="1" hidden="1"/>
    <row r="125" s="133" customFormat="1" ht="12" customHeight="1" hidden="1"/>
    <row r="126" s="133" customFormat="1" ht="12" customHeight="1" hidden="1"/>
    <row r="127" s="133" customFormat="1" ht="12" customHeight="1" hidden="1"/>
    <row r="128" s="133" customFormat="1" ht="12" customHeight="1" hidden="1"/>
    <row r="129" s="133" customFormat="1" ht="12" customHeight="1" hidden="1"/>
    <row r="130" s="133" customFormat="1" ht="12" customHeight="1" hidden="1"/>
    <row r="131" s="133" customFormat="1" ht="12" customHeight="1" hidden="1"/>
    <row r="132" s="133" customFormat="1" ht="12" customHeight="1" hidden="1"/>
    <row r="133" s="133" customFormat="1" ht="12" customHeight="1" hidden="1"/>
    <row r="134" s="133" customFormat="1" ht="12" customHeight="1" hidden="1"/>
    <row r="135" s="129" customFormat="1" ht="12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17.00390625" style="9" customWidth="1"/>
    <col min="2" max="2" width="9.00390625" style="9" customWidth="1"/>
    <col min="3" max="3" width="6.625" style="9" customWidth="1"/>
    <col min="4" max="4" width="13.625" style="9" customWidth="1"/>
    <col min="5" max="5" width="23.00390625" style="9" customWidth="1"/>
    <col min="6" max="6" width="9.375" style="9" customWidth="1"/>
    <col min="7" max="7" width="9.125" style="9" customWidth="1"/>
    <col min="8" max="8" width="13.25390625" style="23" customWidth="1"/>
    <col min="9" max="9" width="10.125" style="9" bestFit="1" customWidth="1"/>
    <col min="10" max="12" width="9.125" style="9" customWidth="1"/>
    <col min="13" max="13" width="15.375" style="9" bestFit="1" customWidth="1"/>
    <col min="14" max="16" width="9.125" style="9" customWidth="1"/>
    <col min="17" max="17" width="15.375" style="9" bestFit="1" customWidth="1"/>
    <col min="18" max="16384" width="9.125" style="9" customWidth="1"/>
  </cols>
  <sheetData>
    <row r="1" spans="2:8" ht="15.75">
      <c r="B1" s="10"/>
      <c r="C1" s="10"/>
      <c r="D1" s="10"/>
      <c r="E1" s="11" t="e">
        <f>#REF!</f>
        <v>#REF!</v>
      </c>
      <c r="H1" s="12"/>
    </row>
    <row r="2" spans="1:19" ht="15.75">
      <c r="A2" s="13" t="s">
        <v>2</v>
      </c>
      <c r="B2" s="14" t="e">
        <f>SUBSTITUTE(B4,F8,F9,1)</f>
        <v>#REF!</v>
      </c>
      <c r="E2" s="15"/>
      <c r="H2" s="16"/>
      <c r="I2" s="17"/>
      <c r="J2" s="16"/>
      <c r="K2" s="16"/>
      <c r="L2" s="16"/>
      <c r="M2" s="18" t="s">
        <v>3</v>
      </c>
      <c r="N2" s="212">
        <f ca="1">TODAY()</f>
        <v>44272</v>
      </c>
      <c r="O2" s="212"/>
      <c r="P2" s="17">
        <f>DAY(N2)</f>
        <v>17</v>
      </c>
      <c r="Q2" s="19" t="str">
        <f>IF(Q3&gt;7,S2,S3)</f>
        <v>марта</v>
      </c>
      <c r="R2" s="18">
        <f>YEAR(N2)</f>
        <v>2021</v>
      </c>
      <c r="S2" s="16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13" t="s">
        <v>4</v>
      </c>
      <c r="B3" s="20" t="e">
        <f>SUBSTITUTE(B5,F8,F9,1)</f>
        <v>#REF!</v>
      </c>
      <c r="H3" s="16"/>
      <c r="I3" s="16"/>
      <c r="J3" s="16"/>
      <c r="K3" s="213" t="str">
        <f>CONCATENATE(" «  ",P2,"  »  ",Q2,"  ",R2," г.")</f>
        <v> «  17  »  марта  2021 г.</v>
      </c>
      <c r="L3" s="213"/>
      <c r="M3" s="213"/>
      <c r="N3" s="21"/>
      <c r="O3" s="21"/>
      <c r="P3" s="16"/>
      <c r="Q3" s="19">
        <f>MONTH(N2)</f>
        <v>3</v>
      </c>
      <c r="R3" s="16"/>
      <c r="S3" s="16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22" t="s">
        <v>5</v>
      </c>
      <c r="B4" s="20" t="e">
        <f>CONCATENATE(A7,A8,A9,A10)</f>
        <v>#REF!</v>
      </c>
    </row>
    <row r="5" spans="1:10" s="20" customFormat="1" ht="12.75">
      <c r="A5" s="22" t="s">
        <v>6</v>
      </c>
      <c r="B5" s="20" t="e">
        <f>CONCATENATE(A7,A8,A9,A10,A11,B7,B8,C8)</f>
        <v>#REF!</v>
      </c>
      <c r="C5" s="9"/>
      <c r="D5" s="9"/>
      <c r="E5" s="9"/>
      <c r="H5" s="24"/>
      <c r="I5" s="24"/>
      <c r="J5" s="24"/>
    </row>
    <row r="6" spans="4:10" ht="12.75" customHeight="1">
      <c r="D6" s="23"/>
      <c r="H6" s="24"/>
      <c r="I6" s="24"/>
      <c r="J6" s="24"/>
    </row>
    <row r="7" spans="1:10" ht="12.75" customHeight="1">
      <c r="A7" s="25" t="e">
        <f>CONCATENATE(IF(B14=0,"",E14),IF(B15=0,"",IF(C16&lt;20,IF(C16&lt;16,IF(C16&lt;10,E15,D16),F16),E15)),IF(B16=0,"",IF(NOT(B15=1),E16,"")),F17)</f>
        <v>#REF!</v>
      </c>
      <c r="D7" s="23"/>
      <c r="F7" s="26" t="e">
        <f>CODE(B5)</f>
        <v>#REF!</v>
      </c>
      <c r="G7" s="25"/>
      <c r="H7" s="24"/>
      <c r="I7" s="24"/>
      <c r="J7" s="24"/>
    </row>
    <row r="8" spans="1:17" ht="12.75" customHeight="1">
      <c r="A8" s="25" t="e">
        <f>CONCATENATE(IF(B18=0,"",E18),IF(B19=0,"",IF(C20&lt;20,IF(C20&lt;16,IF(C20&lt;10,E19,D20),F20),E19)),IF(B20=0,"",IF(NOT(B19=1),E20,"")),F21)</f>
        <v>#REF!</v>
      </c>
      <c r="B8" s="27"/>
      <c r="D8" s="28"/>
      <c r="F8" s="26" t="e">
        <f>CHAR(F7)</f>
        <v>#REF!</v>
      </c>
      <c r="G8" s="25"/>
      <c r="H8" s="24"/>
      <c r="I8" s="24"/>
      <c r="J8" s="24"/>
      <c r="Q8" s="29"/>
    </row>
    <row r="9" spans="1:10" s="25" customFormat="1" ht="12.75" customHeight="1">
      <c r="A9" s="25" t="e">
        <f>CONCATENATE(IF(B22=0,"",E22),IF(B23=0,"",IF(C24&lt;20,IF(C24&lt;16,IF(C24&lt;10,E23,D24),F24),E23)),IF(B24=0,"",IF(NOT(B23=1),E24,"")),F25)</f>
        <v>#REF!</v>
      </c>
      <c r="D9" s="24"/>
      <c r="E9" s="30"/>
      <c r="F9" s="26" t="e">
        <f>PROPER(F8)</f>
        <v>#REF!</v>
      </c>
      <c r="H9" s="24"/>
      <c r="I9" s="24"/>
      <c r="J9" s="24"/>
    </row>
    <row r="10" spans="1:10" s="25" customFormat="1" ht="12.75" customHeight="1">
      <c r="A10" s="25" t="e">
        <f>CONCATENATE(IF(B26=0,"",E26),IF(B27=0,"",IF(C28&lt;20,IF(C28&lt;16,IF(C28&lt;10,E27,D28),F28),E27)),IF(B28=0,"",IF(NOT(B27=1),E28,"")),F29)</f>
        <v>#REF!</v>
      </c>
      <c r="D10" s="24"/>
      <c r="E10" s="30"/>
      <c r="H10" s="24"/>
      <c r="I10" s="24"/>
      <c r="J10" s="24"/>
    </row>
    <row r="11" spans="1:13" s="25" customFormat="1" ht="12.75">
      <c r="A11" s="31"/>
      <c r="D11" s="24"/>
      <c r="E11" s="30"/>
      <c r="M11" s="32"/>
    </row>
    <row r="12" spans="1:13" s="25" customFormat="1" ht="12.75">
      <c r="A12" s="31"/>
      <c r="E12" s="33" t="e">
        <f>TRUNC(E1)</f>
        <v>#REF!</v>
      </c>
      <c r="F12" s="25" t="s">
        <v>7</v>
      </c>
      <c r="H12" s="24"/>
      <c r="M12" s="34"/>
    </row>
    <row r="13" spans="1:8" s="25" customFormat="1" ht="12.75">
      <c r="A13" s="35" t="e">
        <f>TRUNC(A14/10)</f>
        <v>#REF!</v>
      </c>
      <c r="B13" s="24"/>
      <c r="H13" s="24"/>
    </row>
    <row r="14" spans="1:8" s="25" customFormat="1" ht="12.75">
      <c r="A14" s="35" t="e">
        <f>TRUNC(A15/10)</f>
        <v>#REF!</v>
      </c>
      <c r="B14" s="24" t="e">
        <f>TRUNC(RIGHT(A14))</f>
        <v>#REF!</v>
      </c>
      <c r="C14" s="25" t="e">
        <f>B14</f>
        <v>#REF!</v>
      </c>
      <c r="E14" s="36" t="e">
        <f>IF(B14=1,E42,IF(B14=2,G34,IF(B14=3,G35,IF(B14=4,G36,IF(B14=5,G37,IF(B14=6,G38,IF(B14=7,G39,IF(B14=8,G40,G41))))))))</f>
        <v>#REF!</v>
      </c>
      <c r="H14" s="24"/>
    </row>
    <row r="15" spans="1:8" s="25" customFormat="1" ht="12.75">
      <c r="A15" s="35" t="e">
        <f>TRUNC(A16/10)</f>
        <v>#REF!</v>
      </c>
      <c r="B15" s="24" t="e">
        <f>TRUNC(RIGHT(A15))</f>
        <v>#REF!</v>
      </c>
      <c r="C15" s="25" t="e">
        <f>IF(B15=1,"",B15)</f>
        <v>#REF!</v>
      </c>
      <c r="E15" s="37" t="e">
        <f>IF(OR(C15=0,B15=1),"",IF(B15=2,E34,IF(B15=3,E35,IF(B15=4,E36,IF(B15=5,E37,IF(B15=6,E38,IF(B15=7,E39,IF(B15=8,E40,E41))))))))</f>
        <v>#REF!</v>
      </c>
      <c r="H15" s="24"/>
    </row>
    <row r="16" spans="1:8" s="25" customFormat="1" ht="12.75">
      <c r="A16" s="35" t="e">
        <f>TRUNC(A18/10)</f>
        <v>#REF!</v>
      </c>
      <c r="B16" s="24" t="e">
        <f>TRUNC(RIGHT(A16))</f>
        <v>#REF!</v>
      </c>
      <c r="C16" s="25" t="e">
        <f>IF(B15=1,B16+10,IF(B16=0,0,B16))</f>
        <v>#REF!</v>
      </c>
      <c r="D16" s="25" t="e">
        <f>IF(AND(C16&gt;9,C16&lt;16),IF(C16=10,D33,IF(C16=11,D34,IF(C16=12,D35,IF(C16=13,D36,IF(C16=14,D37,IF(C16=15,D38,)))))),"")</f>
        <v>#REF!</v>
      </c>
      <c r="E16" s="37" t="e">
        <f>IF(B16=1,A33,IF(B16=2,A34,IF(B16=3,A35,IF(B16=4,A36,IF(B16=5,A37,IF(B16=6,A38,IF(B16=7,A39,IF(B16=8,A40,A41))))))))</f>
        <v>#REF!</v>
      </c>
      <c r="F16" s="25" t="e">
        <f>IF(AND(C16&gt;15,C16&lt;20),IF(C16=16,D39,IF(C16=17,D40,IF(C16=18,D41,IF(C16=19,D42,)))),"")</f>
        <v>#REF!</v>
      </c>
      <c r="H16" s="24"/>
    </row>
    <row r="17" spans="1:8" s="25" customFormat="1" ht="12.75">
      <c r="A17" s="35"/>
      <c r="B17" s="24"/>
      <c r="D17" s="24"/>
      <c r="E17" s="25" t="e">
        <f>B16+B15*10+B14*100</f>
        <v>#REF!</v>
      </c>
      <c r="F17" s="25" t="e">
        <f>IF(E17=0,"",IF(B15=1,"миллиардов ",IF(B16=1,"милиард ",IF(OR(B16=2,B16=3,B16=4),"миллиарда ","милиардов "))))</f>
        <v>#REF!</v>
      </c>
      <c r="H17" s="24"/>
    </row>
    <row r="18" spans="1:8" s="25" customFormat="1" ht="12.75">
      <c r="A18" s="35" t="e">
        <f>TRUNC(A19/10)</f>
        <v>#REF!</v>
      </c>
      <c r="B18" s="24" t="e">
        <f>TRUNC(RIGHT(A18))</f>
        <v>#REF!</v>
      </c>
      <c r="C18" s="25" t="e">
        <f>B18</f>
        <v>#REF!</v>
      </c>
      <c r="E18" s="36" t="e">
        <f>IF(B18=1,E42,IF(B18=2,G34,IF(B18=3,G35,IF(B18=4,G36,IF(B18=5,G37,IF(B18=6,G38,IF(B18=7,G39,IF(B18=8,G40,G41))))))))</f>
        <v>#REF!</v>
      </c>
      <c r="H18" s="24"/>
    </row>
    <row r="19" spans="1:6" ht="12.75">
      <c r="A19" s="35" t="e">
        <f>TRUNC(A20/10)</f>
        <v>#REF!</v>
      </c>
      <c r="B19" s="24" t="e">
        <f>TRUNC(RIGHT(A19))</f>
        <v>#REF!</v>
      </c>
      <c r="C19" s="25" t="e">
        <f>IF(B19=1,"",B19)</f>
        <v>#REF!</v>
      </c>
      <c r="D19" s="25"/>
      <c r="E19" s="37" t="e">
        <f>IF(OR(C19=0,B19=1),"",IF(B19=2,E34,IF(B19=3,E35,IF(B19=4,E36,IF(B19=5,E37,IF(B19=6,E38,IF(B19=7,E39,IF(B19=8,E40,E41))))))))</f>
        <v>#REF!</v>
      </c>
      <c r="F19" s="25"/>
    </row>
    <row r="20" spans="1:6" s="25" customFormat="1" ht="12.75">
      <c r="A20" s="35" t="e">
        <f>TRUNC(A22/10)</f>
        <v>#REF!</v>
      </c>
      <c r="B20" s="24" t="e">
        <f>TRUNC(RIGHT(A20))</f>
        <v>#REF!</v>
      </c>
      <c r="C20" s="25" t="e">
        <f>IF(B19=1,B20+10,IF(B20=0,0,B20))</f>
        <v>#REF!</v>
      </c>
      <c r="D20" s="25" t="e">
        <f>IF(AND(C20&gt;9,C20&lt;16),IF(C20=10,D33,IF(C20=11,D34,IF(C20=12,D35,IF(C20=13,D36,IF(C20=14,D37,IF(C20=15,D38,)))))),"")</f>
        <v>#REF!</v>
      </c>
      <c r="E20" s="37" t="e">
        <f>IF(B20=1,A33,IF(B20=2,A34,IF(B20=3,A35,IF(B20=4,A36,IF(B20=5,A37,IF(B20=6,A38,IF(B20=7,A39,IF(B20=8,A40,A41))))))))</f>
        <v>#REF!</v>
      </c>
      <c r="F20" s="25" t="e">
        <f>IF(AND(C20&gt;15,C20&lt;20),IF(C20=16,D39,IF(C20=17,D40,IF(C20=18,D41,IF(C20=19,D42,)))),"")</f>
        <v>#REF!</v>
      </c>
    </row>
    <row r="21" spans="1:6" s="25" customFormat="1" ht="12.75">
      <c r="A21" s="35"/>
      <c r="B21" s="24"/>
      <c r="E21" s="25" t="e">
        <f>B20+B19*10+B18*100</f>
        <v>#REF!</v>
      </c>
      <c r="F21" s="25" t="e">
        <f>IF(E21=0,"",IF(B19=1,"миллионов ",IF(B20=1,"миллион ",IF(OR(B20=2,B20=3,B20=4),"миллиона ","миллионов "))))</f>
        <v>#REF!</v>
      </c>
    </row>
    <row r="22" spans="1:9" s="25" customFormat="1" ht="12.75">
      <c r="A22" s="35" t="e">
        <f>TRUNC(A23/10)</f>
        <v>#REF!</v>
      </c>
      <c r="B22" s="24" t="e">
        <f>TRUNC(RIGHT(A22))</f>
        <v>#REF!</v>
      </c>
      <c r="C22" s="25" t="e">
        <f>B22</f>
        <v>#REF!</v>
      </c>
      <c r="E22" s="36" t="e">
        <f>IF(B22=1,E42,IF(B22=2,G34,IF(B22=3,G35,IF(B22=4,G36,IF(B22=5,G37,IF(B22=6,G38,IF(B22=7,G39,IF(B22=8,G40,G41))))))))</f>
        <v>#REF!</v>
      </c>
      <c r="I22" s="32"/>
    </row>
    <row r="23" spans="1:5" s="25" customFormat="1" ht="12.75">
      <c r="A23" s="35" t="e">
        <f>TRUNC(A24/10)</f>
        <v>#REF!</v>
      </c>
      <c r="B23" s="24" t="e">
        <f>TRUNC(RIGHT(A23))</f>
        <v>#REF!</v>
      </c>
      <c r="C23" s="25" t="e">
        <f>IF(B23=1,"",B23)</f>
        <v>#REF!</v>
      </c>
      <c r="E23" s="37" t="e">
        <f>IF(OR(C23=0,B23=1),"",IF(B23=2,E34,IF(B23=3,E35,IF(B23=4,E36,IF(B23=5,E37,IF(B23=6,E38,IF(B23=7,E39,IF(B23=8,E40,E41))))))))</f>
        <v>#REF!</v>
      </c>
    </row>
    <row r="24" spans="1:6" s="25" customFormat="1" ht="12.75">
      <c r="A24" s="35" t="e">
        <f>TRUNC(A26/10)</f>
        <v>#REF!</v>
      </c>
      <c r="B24" s="24" t="e">
        <f>TRUNC(RIGHT(A24))</f>
        <v>#REF!</v>
      </c>
      <c r="C24" s="25" t="e">
        <f>IF(B23=1,B24+10,IF(B24=0,0,B24))</f>
        <v>#REF!</v>
      </c>
      <c r="D24" s="25" t="e">
        <f>IF(AND(C24&gt;9,C24&lt;16),IF(C24=10,D33,IF(C24=11,D34,IF(C24=12,D35,IF(C24=13,D36,IF(C24=14,D37,IF(C24=15,D38,)))))),"")</f>
        <v>#REF!</v>
      </c>
      <c r="E24" s="37" t="e">
        <f>IF(B24=1,B33,IF(B24=2,B34,IF(B24=3,A35,IF(B24=4,A36,IF(B24=5,A37,IF(B24=6,A38,IF(B24=7,A39,IF(B24=8,A40,A41))))))))</f>
        <v>#REF!</v>
      </c>
      <c r="F24" s="25" t="e">
        <f>IF(AND(C24&gt;15,C24&lt;20),IF(C24=16,D39,IF(C24=17,D40,IF(C24=18,D41,IF(C24=19,D42,)))),"")</f>
        <v>#REF!</v>
      </c>
    </row>
    <row r="25" spans="1:6" s="25" customFormat="1" ht="12.75">
      <c r="A25" s="35"/>
      <c r="B25" s="24"/>
      <c r="E25" s="37" t="e">
        <f>B22*100+B23*10+B24</f>
        <v>#REF!</v>
      </c>
      <c r="F25" s="25" t="e">
        <f>IF(E25=0,"",IF(B23=1,"тысяч ",IF(B24=1,"тысяча ",IF(OR(B24=2,B24=3,B24=4),"тысячи ","тысяч "))))</f>
        <v>#REF!</v>
      </c>
    </row>
    <row r="26" spans="1:5" s="25" customFormat="1" ht="12.75">
      <c r="A26" s="35" t="e">
        <f>TRUNC(A27/10)</f>
        <v>#REF!</v>
      </c>
      <c r="B26" s="24" t="e">
        <f>TRUNC(RIGHT(A26))</f>
        <v>#REF!</v>
      </c>
      <c r="C26" s="25" t="e">
        <f>B26</f>
        <v>#REF!</v>
      </c>
      <c r="E26" s="36" t="e">
        <f>IF(B26=1,E42,IF(B26=2,G34,IF(B26=3,G35,IF(B26=4,G36,IF(B26=5,G37,IF(B26=6,G38,IF(B26=7,G39,IF(B26=8,G40,G41))))))))</f>
        <v>#REF!</v>
      </c>
    </row>
    <row r="27" spans="1:7" s="25" customFormat="1" ht="12.75">
      <c r="A27" s="35" t="e">
        <f>TRUNC(A28/10)</f>
        <v>#REF!</v>
      </c>
      <c r="B27" s="38" t="e">
        <f>TRUNC(RIGHT(A27))</f>
        <v>#REF!</v>
      </c>
      <c r="C27" s="25" t="e">
        <f>IF(B27=1,"",B27)</f>
        <v>#REF!</v>
      </c>
      <c r="E27" s="37" t="e">
        <f>IF(OR(C27=0,B27=1),"",IF(C27=2,E34,IF(C27=3,E35,IF(C27=4,E36,IF(C27=5,E37,IF(C27=6,E38,IF(C27=7,E39,IF(C27=8,E40,E41))))))))</f>
        <v>#REF!</v>
      </c>
      <c r="G27" s="24"/>
    </row>
    <row r="28" spans="1:7" s="25" customFormat="1" ht="12.75">
      <c r="A28" s="35" t="e">
        <f>E12</f>
        <v>#REF!</v>
      </c>
      <c r="B28" s="24" t="e">
        <f>TRUNC(RIGHT(A28))</f>
        <v>#REF!</v>
      </c>
      <c r="C28" s="25" t="e">
        <f>IF(B27=1,B28+10,IF(B28=0,0,B28))</f>
        <v>#REF!</v>
      </c>
      <c r="D28" s="25" t="e">
        <f>IF(AND(C28&gt;9,C28&lt;16),IF(C28=10,D33,IF(C28=11,D34,IF(C28=12,D35,IF(C28=13,D36,IF(C28=14,D37,IF(C28=15,D38,)))))),"")</f>
        <v>#REF!</v>
      </c>
      <c r="E28" s="37" t="e">
        <f>IF(B28=1,A33,IF(B28=2,A34,IF(B28=3,A35,IF(B28=4,A36,IF(B28=5,A37,IF(B28=6,A38,IF(B28=7,A39,IF(B28=8,A40,A41))))))))</f>
        <v>#REF!</v>
      </c>
      <c r="F28" s="25" t="e">
        <f>IF(AND(C28&gt;15,C28&lt;20),IF(C28=16,D39,IF(C28=17,D40,IF(C28=18,D41,IF(C28=19,D42,)))),"")</f>
        <v>#REF!</v>
      </c>
      <c r="G28" s="24"/>
    </row>
    <row r="29" spans="1:7" s="25" customFormat="1" ht="12.75">
      <c r="A29" s="31"/>
      <c r="B29" s="38"/>
      <c r="C29" s="24"/>
      <c r="E29" s="37" t="e">
        <f>B26*100+B27*10+B28</f>
        <v>#REF!</v>
      </c>
      <c r="F29" s="25" t="e">
        <f>IF(E29+E25+E21+E17=0,"ноль рублей ",IF(C28=1,"рубль ",IF(OR(C28=2,C28=3,C28=4),"рубля ","рублей ")))</f>
        <v>#REF!</v>
      </c>
      <c r="G29" s="24"/>
    </row>
    <row r="30" spans="1:8" s="25" customFormat="1" ht="12.75">
      <c r="A30" s="39" t="e">
        <f>ROUND(100*(E1-E12),0)</f>
        <v>#REF!</v>
      </c>
      <c r="C30" s="24" t="e">
        <f>TRUNC(A30/10)</f>
        <v>#REF!</v>
      </c>
      <c r="E30" s="37" t="e">
        <f>IF(OR(C30=1,C30=0),"",IF(C30=2,E34,IF(C30=3,E35,IF(C30=4,E36,IF(C30=5,E37,IF(C30=6,E38,IF(C30=7,E39,IF(C30=8,E40,E41))))))))</f>
        <v>#REF!</v>
      </c>
      <c r="H30" s="24"/>
    </row>
    <row r="31" spans="3:8" s="25" customFormat="1" ht="12.75">
      <c r="C31" s="24" t="e">
        <f>TRUNC(A30-C30*10)</f>
        <v>#REF!</v>
      </c>
      <c r="E31" s="37" t="e">
        <f>IF(C31=1,B33,IF(C31=2,B34,IF(C31=3,A35,IF(C31=4,A36,IF(C31=5,A37,IF(C31=6,A38,IF(C31=7,A39,IF(C31=8,A40,A41))))))))</f>
        <v>#REF!</v>
      </c>
      <c r="H31" s="24"/>
    </row>
    <row r="32" s="25" customFormat="1" ht="12.75">
      <c r="H32" s="24"/>
    </row>
    <row r="33" spans="1:8" s="25" customFormat="1" ht="12.75">
      <c r="A33" s="25" t="s">
        <v>8</v>
      </c>
      <c r="B33" s="25" t="s">
        <v>9</v>
      </c>
      <c r="D33" s="25" t="s">
        <v>10</v>
      </c>
      <c r="H33" s="24"/>
    </row>
    <row r="34" spans="1:7" s="25" customFormat="1" ht="12.75">
      <c r="A34" s="25" t="s">
        <v>11</v>
      </c>
      <c r="B34" s="25" t="s">
        <v>12</v>
      </c>
      <c r="D34" s="25" t="s">
        <v>13</v>
      </c>
      <c r="E34" s="25" t="s">
        <v>14</v>
      </c>
      <c r="G34" s="25" t="s">
        <v>15</v>
      </c>
    </row>
    <row r="35" spans="1:7" s="25" customFormat="1" ht="12.75">
      <c r="A35" s="25" t="s">
        <v>16</v>
      </c>
      <c r="D35" s="25" t="s">
        <v>17</v>
      </c>
      <c r="E35" s="25" t="s">
        <v>18</v>
      </c>
      <c r="G35" s="25" t="s">
        <v>19</v>
      </c>
    </row>
    <row r="36" spans="1:7" s="25" customFormat="1" ht="12.75">
      <c r="A36" s="25" t="s">
        <v>20</v>
      </c>
      <c r="D36" s="25" t="s">
        <v>21</v>
      </c>
      <c r="E36" s="25" t="s">
        <v>22</v>
      </c>
      <c r="G36" s="25" t="s">
        <v>23</v>
      </c>
    </row>
    <row r="37" spans="1:7" s="25" customFormat="1" ht="12.75">
      <c r="A37" s="25" t="s">
        <v>24</v>
      </c>
      <c r="D37" s="25" t="s">
        <v>25</v>
      </c>
      <c r="E37" s="25" t="s">
        <v>26</v>
      </c>
      <c r="G37" s="25" t="s">
        <v>27</v>
      </c>
    </row>
    <row r="38" spans="1:7" s="25" customFormat="1" ht="12.75">
      <c r="A38" s="25" t="s">
        <v>28</v>
      </c>
      <c r="D38" s="25" t="s">
        <v>29</v>
      </c>
      <c r="E38" s="25" t="s">
        <v>30</v>
      </c>
      <c r="G38" s="25" t="s">
        <v>31</v>
      </c>
    </row>
    <row r="39" spans="1:7" s="25" customFormat="1" ht="12.75">
      <c r="A39" s="25" t="s">
        <v>32</v>
      </c>
      <c r="D39" s="25" t="s">
        <v>33</v>
      </c>
      <c r="E39" s="25" t="s">
        <v>34</v>
      </c>
      <c r="G39" s="25" t="s">
        <v>35</v>
      </c>
    </row>
    <row r="40" spans="1:7" s="25" customFormat="1" ht="12.75">
      <c r="A40" s="40" t="s">
        <v>36</v>
      </c>
      <c r="D40" s="25" t="s">
        <v>37</v>
      </c>
      <c r="E40" s="25" t="s">
        <v>38</v>
      </c>
      <c r="G40" s="25" t="s">
        <v>39</v>
      </c>
    </row>
    <row r="41" spans="1:7" s="25" customFormat="1" ht="12.75">
      <c r="A41" s="25" t="s">
        <v>40</v>
      </c>
      <c r="D41" s="25" t="s">
        <v>41</v>
      </c>
      <c r="E41" s="25" t="s">
        <v>42</v>
      </c>
      <c r="G41" s="25" t="s">
        <v>43</v>
      </c>
    </row>
    <row r="42" spans="4:8" s="25" customFormat="1" ht="12.75">
      <c r="D42" s="25" t="s">
        <v>44</v>
      </c>
      <c r="E42" s="25" t="s">
        <v>45</v>
      </c>
      <c r="H42" s="24"/>
    </row>
    <row r="43" s="25" customFormat="1" ht="12.75">
      <c r="H43" s="24"/>
    </row>
    <row r="44" s="25" customFormat="1" ht="12.75">
      <c r="H44" s="24"/>
    </row>
    <row r="45" spans="1:9" s="25" customFormat="1" ht="15.75">
      <c r="A45" s="9"/>
      <c r="B45" s="10"/>
      <c r="C45" s="10"/>
      <c r="D45" s="10"/>
      <c r="E45" s="11" t="e">
        <f>#REF!</f>
        <v>#REF!</v>
      </c>
      <c r="F45" s="9"/>
      <c r="G45" s="9"/>
      <c r="H45" s="12"/>
      <c r="I45" s="9"/>
    </row>
    <row r="46" spans="1:9" s="25" customFormat="1" ht="15.75">
      <c r="A46" s="13" t="s">
        <v>2</v>
      </c>
      <c r="B46" s="14" t="e">
        <f>SUBSTITUTE(B48,F52,F53,1)</f>
        <v>#REF!</v>
      </c>
      <c r="C46" s="9"/>
      <c r="D46" s="9"/>
      <c r="E46" s="15"/>
      <c r="F46" s="9"/>
      <c r="G46" s="9"/>
      <c r="H46" s="16"/>
      <c r="I46" s="17"/>
    </row>
    <row r="47" spans="1:9" s="25" customFormat="1" ht="12.75">
      <c r="A47" s="13" t="s">
        <v>4</v>
      </c>
      <c r="B47" s="20" t="e">
        <f>SUBSTITUTE(B49,F52,F53,1)</f>
        <v>#REF!</v>
      </c>
      <c r="C47" s="9"/>
      <c r="D47" s="9"/>
      <c r="E47" s="9"/>
      <c r="F47" s="9"/>
      <c r="G47" s="9"/>
      <c r="H47" s="16"/>
      <c r="I47" s="16"/>
    </row>
    <row r="48" spans="1:9" s="25" customFormat="1" ht="12.75">
      <c r="A48" s="22" t="s">
        <v>5</v>
      </c>
      <c r="B48" s="20" t="e">
        <f>CONCATENATE(A51,A52,A53,A54)</f>
        <v>#REF!</v>
      </c>
      <c r="C48" s="9"/>
      <c r="D48" s="9"/>
      <c r="E48" s="9"/>
      <c r="F48" s="9"/>
      <c r="G48" s="9"/>
      <c r="H48" s="23"/>
      <c r="I48" s="9"/>
    </row>
    <row r="49" spans="1:9" ht="12.75">
      <c r="A49" s="22" t="s">
        <v>6</v>
      </c>
      <c r="B49" s="20" t="e">
        <f>CONCATENATE(A51,A52,A53,A54,A55,B51,B52,C52)</f>
        <v>#REF!</v>
      </c>
      <c r="F49" s="20"/>
      <c r="G49" s="20"/>
      <c r="H49" s="24"/>
      <c r="I49" s="24"/>
    </row>
    <row r="50" spans="4:9" ht="12.75">
      <c r="D50" s="23"/>
      <c r="H50" s="24"/>
      <c r="I50" s="24"/>
    </row>
    <row r="51" spans="1:9" ht="12.75">
      <c r="A51" s="25" t="e">
        <f>CONCATENATE(IF(B58=0,"",E58),IF(B59=0,"",IF(C60&lt;20,IF(C60&lt;16,IF(C60&lt;10,E59,D60),F60),E59)),IF(B60=0,"",IF(NOT(B59=1),E60,"")),F61)</f>
        <v>#REF!</v>
      </c>
      <c r="D51" s="23"/>
      <c r="F51" s="26" t="e">
        <f>CODE(B49)</f>
        <v>#REF!</v>
      </c>
      <c r="G51" s="25"/>
      <c r="H51" s="24"/>
      <c r="I51" s="24"/>
    </row>
    <row r="52" spans="1:9" ht="12.75">
      <c r="A52" s="25" t="e">
        <f>CONCATENATE(IF(B62=0,"",E62),IF(B63=0,"",IF(C64&lt;20,IF(C64&lt;16,IF(C64&lt;10,E63,D64),F64),E63)),IF(B64=0,"",IF(NOT(B63=1),E64,"")),F65)</f>
        <v>#REF!</v>
      </c>
      <c r="B52" s="27"/>
      <c r="D52" s="28"/>
      <c r="F52" s="26" t="e">
        <f>CHAR(F51)</f>
        <v>#REF!</v>
      </c>
      <c r="G52" s="25"/>
      <c r="H52" s="24"/>
      <c r="I52" s="24"/>
    </row>
    <row r="53" spans="1:9" ht="12.75">
      <c r="A53" s="25" t="e">
        <f>CONCATENATE(IF(B66=0,"",E66),IF(B67=0,"",IF(C68&lt;20,IF(C68&lt;16,IF(C68&lt;10,E67,D68),F68),E67)),IF(B68=0,"",IF(NOT(B67=1),E68,"")),F69)</f>
        <v>#REF!</v>
      </c>
      <c r="B53" s="25"/>
      <c r="C53" s="25"/>
      <c r="D53" s="24"/>
      <c r="E53" s="30"/>
      <c r="F53" s="26" t="e">
        <f>PROPER(F52)</f>
        <v>#REF!</v>
      </c>
      <c r="G53" s="25"/>
      <c r="H53" s="24"/>
      <c r="I53" s="24"/>
    </row>
    <row r="54" spans="1:9" ht="12.75">
      <c r="A54" s="25" t="e">
        <f>CONCATENATE(IF(B70=0,"",E70),IF(B71=0,"",IF(C72&lt;20,IF(C72&lt;16,IF(C72&lt;10,E71,D72),F72),E71)),IF(B72=0,"",IF(NOT(B71=1),E72,"")),F73)</f>
        <v>#REF!</v>
      </c>
      <c r="B54" s="25"/>
      <c r="C54" s="25"/>
      <c r="D54" s="24"/>
      <c r="E54" s="30"/>
      <c r="F54" s="25"/>
      <c r="G54" s="25"/>
      <c r="H54" s="24"/>
      <c r="I54" s="24"/>
    </row>
    <row r="55" spans="1:9" ht="12.75">
      <c r="A55" s="31"/>
      <c r="B55" s="25"/>
      <c r="C55" s="25"/>
      <c r="D55" s="24"/>
      <c r="E55" s="30"/>
      <c r="F55" s="25"/>
      <c r="G55" s="25"/>
      <c r="H55" s="25"/>
      <c r="I55" s="25"/>
    </row>
    <row r="56" spans="1:9" ht="12.75">
      <c r="A56" s="31"/>
      <c r="B56" s="25"/>
      <c r="C56" s="25"/>
      <c r="D56" s="25"/>
      <c r="E56" s="33" t="e">
        <f>TRUNC(E45)</f>
        <v>#REF!</v>
      </c>
      <c r="F56" s="25" t="s">
        <v>7</v>
      </c>
      <c r="G56" s="25"/>
      <c r="H56" s="24"/>
      <c r="I56" s="25"/>
    </row>
    <row r="57" spans="1:9" ht="12.75">
      <c r="A57" s="35" t="e">
        <f>TRUNC(A58/10)</f>
        <v>#REF!</v>
      </c>
      <c r="B57" s="24"/>
      <c r="C57" s="25"/>
      <c r="D57" s="25"/>
      <c r="E57" s="25"/>
      <c r="F57" s="25"/>
      <c r="G57" s="25"/>
      <c r="H57" s="24"/>
      <c r="I57" s="25"/>
    </row>
    <row r="58" spans="1:9" ht="12.75">
      <c r="A58" s="35" t="e">
        <f>TRUNC(A59/10)</f>
        <v>#REF!</v>
      </c>
      <c r="B58" s="24" t="e">
        <f>TRUNC(RIGHT(A58))</f>
        <v>#REF!</v>
      </c>
      <c r="C58" s="25" t="e">
        <f>B58</f>
        <v>#REF!</v>
      </c>
      <c r="D58" s="25"/>
      <c r="E58" s="36" t="e">
        <f>IF(B58=1,E86,IF(B58=2,G78,IF(B58=3,G79,IF(B58=4,G80,IF(B58=5,G81,IF(B58=6,G82,IF(B58=7,G83,IF(B58=8,G84,G85))))))))</f>
        <v>#REF!</v>
      </c>
      <c r="F58" s="25"/>
      <c r="G58" s="25"/>
      <c r="H58" s="24"/>
      <c r="I58" s="25"/>
    </row>
    <row r="59" spans="1:9" ht="12.75">
      <c r="A59" s="35" t="e">
        <f>TRUNC(A60/10)</f>
        <v>#REF!</v>
      </c>
      <c r="B59" s="24" t="e">
        <f>TRUNC(RIGHT(A59))</f>
        <v>#REF!</v>
      </c>
      <c r="C59" s="25" t="e">
        <f>IF(B59=1,"",B59)</f>
        <v>#REF!</v>
      </c>
      <c r="D59" s="25"/>
      <c r="E59" s="37" t="e">
        <f>IF(OR(C59=0,B59=1),"",IF(B59=2,E78,IF(B59=3,E79,IF(B59=4,E80,IF(B59=5,E81,IF(B59=6,E82,IF(B59=7,E83,IF(B59=8,E84,E85))))))))</f>
        <v>#REF!</v>
      </c>
      <c r="F59" s="25"/>
      <c r="G59" s="25"/>
      <c r="H59" s="24"/>
      <c r="I59" s="25"/>
    </row>
    <row r="60" spans="1:9" ht="12.75">
      <c r="A60" s="35" t="e">
        <f>TRUNC(A62/10)</f>
        <v>#REF!</v>
      </c>
      <c r="B60" s="24" t="e">
        <f>TRUNC(RIGHT(A60))</f>
        <v>#REF!</v>
      </c>
      <c r="C60" s="25" t="e">
        <f>IF(B59=1,B60+10,IF(B60=0,0,B60))</f>
        <v>#REF!</v>
      </c>
      <c r="D60" s="25" t="e">
        <f>IF(AND(C60&gt;9,C60&lt;16),IF(C60=10,D77,IF(C60=11,D78,IF(C60=12,D79,IF(C60=13,D80,IF(C60=14,D81,IF(C60=15,D82,)))))),"")</f>
        <v>#REF!</v>
      </c>
      <c r="E60" s="37" t="e">
        <f>IF(B60=1,A77,IF(B60=2,A78,IF(B60=3,A79,IF(B60=4,A80,IF(B60=5,A81,IF(B60=6,A82,IF(B60=7,A83,IF(B60=8,A84,A85))))))))</f>
        <v>#REF!</v>
      </c>
      <c r="F60" s="25" t="e">
        <f>IF(AND(C60&gt;15,C60&lt;20),IF(C60=16,D83,IF(C60=17,D84,IF(C60=18,D85,IF(C60=19,D86,)))),"")</f>
        <v>#REF!</v>
      </c>
      <c r="G60" s="25"/>
      <c r="H60" s="24"/>
      <c r="I60" s="25"/>
    </row>
    <row r="61" spans="1:9" ht="12.75">
      <c r="A61" s="35"/>
      <c r="B61" s="24"/>
      <c r="C61" s="25"/>
      <c r="D61" s="24"/>
      <c r="E61" s="25" t="e">
        <f>B60+B59*10+B58*100</f>
        <v>#REF!</v>
      </c>
      <c r="F61" s="25" t="e">
        <f>IF(E61=0,"",IF(B59=1,"миллиардов ",IF(B60=1,"милиард ",IF(OR(B60=2,B60=3,B60=4),"миллиарда ","милиардов "))))</f>
        <v>#REF!</v>
      </c>
      <c r="G61" s="25"/>
      <c r="H61" s="24"/>
      <c r="I61" s="25"/>
    </row>
    <row r="62" spans="1:9" ht="12.75">
      <c r="A62" s="35" t="e">
        <f>TRUNC(A63/10)</f>
        <v>#REF!</v>
      </c>
      <c r="B62" s="24" t="e">
        <f>TRUNC(RIGHT(A62))</f>
        <v>#REF!</v>
      </c>
      <c r="C62" s="25" t="e">
        <f>B62</f>
        <v>#REF!</v>
      </c>
      <c r="D62" s="25"/>
      <c r="E62" s="36" t="e">
        <f>IF(B62=1,E86,IF(B62=2,G78,IF(B62=3,G79,IF(B62=4,G80,IF(B62=5,G81,IF(B62=6,G82,IF(B62=7,G83,IF(B62=8,G84,G85))))))))</f>
        <v>#REF!</v>
      </c>
      <c r="F62" s="25"/>
      <c r="G62" s="25"/>
      <c r="H62" s="24"/>
      <c r="I62" s="25"/>
    </row>
    <row r="63" spans="1:6" ht="12.75">
      <c r="A63" s="35" t="e">
        <f>TRUNC(A64/10)</f>
        <v>#REF!</v>
      </c>
      <c r="B63" s="24" t="e">
        <f>TRUNC(RIGHT(A63))</f>
        <v>#REF!</v>
      </c>
      <c r="C63" s="25" t="e">
        <f>IF(B63=1,"",B63)</f>
        <v>#REF!</v>
      </c>
      <c r="D63" s="25"/>
      <c r="E63" s="37" t="e">
        <f>IF(OR(C63=0,B63=1),"",IF(B63=2,E78,IF(B63=3,E79,IF(B63=4,E80,IF(B63=5,E81,IF(B63=6,E82,IF(B63=7,E83,IF(B63=8,E84,E85))))))))</f>
        <v>#REF!</v>
      </c>
      <c r="F63" s="25"/>
    </row>
    <row r="64" spans="1:9" ht="12.75">
      <c r="A64" s="35" t="e">
        <f>TRUNC(A66/10)</f>
        <v>#REF!</v>
      </c>
      <c r="B64" s="24" t="e">
        <f>TRUNC(RIGHT(A64))</f>
        <v>#REF!</v>
      </c>
      <c r="C64" s="25" t="e">
        <f>IF(B63=1,B64+10,IF(B64=0,0,B64))</f>
        <v>#REF!</v>
      </c>
      <c r="D64" s="25" t="e">
        <f>IF(AND(C64&gt;9,C64&lt;16),IF(C64=10,D77,IF(C64=11,D78,IF(C64=12,D79,IF(C64=13,D80,IF(C64=14,D81,IF(C64=15,D82,)))))),"")</f>
        <v>#REF!</v>
      </c>
      <c r="E64" s="37" t="e">
        <f>IF(B64=1,A77,IF(B64=2,A78,IF(B64=3,A79,IF(B64=4,A80,IF(B64=5,A81,IF(B64=6,A82,IF(B64=7,A83,IF(B64=8,A84,A85))))))))</f>
        <v>#REF!</v>
      </c>
      <c r="F64" s="25" t="e">
        <f>IF(AND(C64&gt;15,C64&lt;20),IF(C64=16,D83,IF(C64=17,D84,IF(C64=18,D85,IF(C64=19,D86,)))),"")</f>
        <v>#REF!</v>
      </c>
      <c r="G64" s="25"/>
      <c r="H64" s="25"/>
      <c r="I64" s="25"/>
    </row>
    <row r="65" spans="1:9" ht="12.75">
      <c r="A65" s="35"/>
      <c r="B65" s="24"/>
      <c r="C65" s="25"/>
      <c r="D65" s="25"/>
      <c r="E65" s="25" t="e">
        <f>B64+B63*10+B62*100</f>
        <v>#REF!</v>
      </c>
      <c r="F65" s="25" t="e">
        <f>IF(E65=0,"",IF(B63=1,"миллионов ",IF(B64=1,"миллион ",IF(OR(B64=2,B64=3,B64=4),"миллиона ","миллионов "))))</f>
        <v>#REF!</v>
      </c>
      <c r="G65" s="25"/>
      <c r="H65" s="25"/>
      <c r="I65" s="25"/>
    </row>
    <row r="66" spans="1:9" ht="12.75">
      <c r="A66" s="35" t="e">
        <f>TRUNC(A67/10)</f>
        <v>#REF!</v>
      </c>
      <c r="B66" s="24" t="e">
        <f>TRUNC(RIGHT(A66))</f>
        <v>#REF!</v>
      </c>
      <c r="C66" s="25" t="e">
        <f>B66</f>
        <v>#REF!</v>
      </c>
      <c r="D66" s="25"/>
      <c r="E66" s="36" t="e">
        <f>IF(B66=1,E86,IF(B66=2,G78,IF(B66=3,G79,IF(B66=4,G80,IF(B66=5,G81,IF(B66=6,G82,IF(B66=7,G83,IF(B66=8,G84,G85))))))))</f>
        <v>#REF!</v>
      </c>
      <c r="F66" s="25"/>
      <c r="G66" s="25"/>
      <c r="H66" s="25"/>
      <c r="I66" s="32"/>
    </row>
    <row r="67" spans="1:9" ht="12.75">
      <c r="A67" s="35" t="e">
        <f>TRUNC(A68/10)</f>
        <v>#REF!</v>
      </c>
      <c r="B67" s="24" t="e">
        <f>TRUNC(RIGHT(A67))</f>
        <v>#REF!</v>
      </c>
      <c r="C67" s="25" t="e">
        <f>IF(B67=1,"",B67)</f>
        <v>#REF!</v>
      </c>
      <c r="D67" s="25"/>
      <c r="E67" s="37" t="e">
        <f>IF(OR(C67=0,B67=1),"",IF(B67=2,E78,IF(B67=3,E79,IF(B67=4,E80,IF(B67=5,E81,IF(B67=6,E82,IF(B67=7,E83,IF(B67=8,E84,E85))))))))</f>
        <v>#REF!</v>
      </c>
      <c r="F67" s="25"/>
      <c r="G67" s="25"/>
      <c r="H67" s="25"/>
      <c r="I67" s="25"/>
    </row>
    <row r="68" spans="1:9" ht="12.75">
      <c r="A68" s="35" t="e">
        <f>TRUNC(A70/10)</f>
        <v>#REF!</v>
      </c>
      <c r="B68" s="24" t="e">
        <f>TRUNC(RIGHT(A68))</f>
        <v>#REF!</v>
      </c>
      <c r="C68" s="25" t="e">
        <f>IF(B67=1,B68+10,IF(B68=0,0,B68))</f>
        <v>#REF!</v>
      </c>
      <c r="D68" s="25" t="e">
        <f>IF(AND(C68&gt;9,C68&lt;16),IF(C68=10,D77,IF(C68=11,D78,IF(C68=12,D79,IF(C68=13,D80,IF(C68=14,D81,IF(C68=15,D82,)))))),"")</f>
        <v>#REF!</v>
      </c>
      <c r="E68" s="37" t="e">
        <f>IF(B68=1,B77,IF(B68=2,B78,IF(B68=3,A79,IF(B68=4,A80,IF(B68=5,A81,IF(B68=6,A82,IF(B68=7,A83,IF(B68=8,A84,A85))))))))</f>
        <v>#REF!</v>
      </c>
      <c r="F68" s="25" t="e">
        <f>IF(AND(C68&gt;15,C68&lt;20),IF(C68=16,D83,IF(C68=17,D84,IF(C68=18,D85,IF(C68=19,D86,)))),"")</f>
        <v>#REF!</v>
      </c>
      <c r="G68" s="25"/>
      <c r="H68" s="25"/>
      <c r="I68" s="25"/>
    </row>
    <row r="69" spans="1:9" ht="12.75">
      <c r="A69" s="35"/>
      <c r="B69" s="24"/>
      <c r="C69" s="25"/>
      <c r="D69" s="25"/>
      <c r="E69" s="37" t="e">
        <f>B66*100+B67*10+B68</f>
        <v>#REF!</v>
      </c>
      <c r="F69" s="25" t="e">
        <f>IF(E69=0,"",IF(B67=1,"тысяч ",IF(B68=1,"тысяча ",IF(OR(B68=2,B68=3,B68=4),"тысячи ","тысяч "))))</f>
        <v>#REF!</v>
      </c>
      <c r="G69" s="25"/>
      <c r="H69" s="25"/>
      <c r="I69" s="25"/>
    </row>
    <row r="70" spans="1:9" ht="12.75">
      <c r="A70" s="35" t="e">
        <f>TRUNC(A71/10)</f>
        <v>#REF!</v>
      </c>
      <c r="B70" s="24" t="e">
        <f>TRUNC(RIGHT(A70))</f>
        <v>#REF!</v>
      </c>
      <c r="C70" s="25" t="e">
        <f>B70</f>
        <v>#REF!</v>
      </c>
      <c r="D70" s="25"/>
      <c r="E70" s="36" t="e">
        <f>IF(B70=1,E86,IF(B70=2,G78,IF(B70=3,G79,IF(B70=4,G80,IF(B70=5,G81,IF(B70=6,G82,IF(B70=7,G83,IF(B70=8,G84,G85))))))))</f>
        <v>#REF!</v>
      </c>
      <c r="F70" s="25"/>
      <c r="G70" s="25"/>
      <c r="H70" s="25"/>
      <c r="I70" s="25"/>
    </row>
    <row r="71" spans="1:9" ht="12.75">
      <c r="A71" s="35" t="e">
        <f>TRUNC(A72/10)</f>
        <v>#REF!</v>
      </c>
      <c r="B71" s="38" t="e">
        <f>TRUNC(RIGHT(A71))</f>
        <v>#REF!</v>
      </c>
      <c r="C71" s="25" t="e">
        <f>IF(B71=1,"",B71)</f>
        <v>#REF!</v>
      </c>
      <c r="D71" s="25"/>
      <c r="E71" s="37" t="e">
        <f>IF(OR(C71=0,B71=1),"",IF(C71=2,E78,IF(C71=3,E79,IF(C71=4,E80,IF(C71=5,E81,IF(C71=6,E82,IF(C71=7,E83,IF(C71=8,E84,E85))))))))</f>
        <v>#REF!</v>
      </c>
      <c r="F71" s="25"/>
      <c r="G71" s="24"/>
      <c r="H71" s="25"/>
      <c r="I71" s="25"/>
    </row>
    <row r="72" spans="1:9" ht="12.75">
      <c r="A72" s="35" t="e">
        <f>E56</f>
        <v>#REF!</v>
      </c>
      <c r="B72" s="24" t="e">
        <f>TRUNC(RIGHT(A72))</f>
        <v>#REF!</v>
      </c>
      <c r="C72" s="25" t="e">
        <f>IF(B71=1,B72+10,IF(B72=0,0,B72))</f>
        <v>#REF!</v>
      </c>
      <c r="D72" s="25" t="e">
        <f>IF(AND(C72&gt;9,C72&lt;16),IF(C72=10,D77,IF(C72=11,D78,IF(C72=12,D79,IF(C72=13,D80,IF(C72=14,D81,IF(C72=15,D82,)))))),"")</f>
        <v>#REF!</v>
      </c>
      <c r="E72" s="37" t="e">
        <f>IF(B72=1,A77,IF(B72=2,A78,IF(B72=3,A79,IF(B72=4,A80,IF(B72=5,A81,IF(B72=6,A82,IF(B72=7,A83,IF(B72=8,A84,A85))))))))</f>
        <v>#REF!</v>
      </c>
      <c r="F72" s="25" t="e">
        <f>IF(AND(C72&gt;15,C72&lt;20),IF(C72=16,D83,IF(C72=17,D84,IF(C72=18,D85,IF(C72=19,D86,)))),"")</f>
        <v>#REF!</v>
      </c>
      <c r="G72" s="24"/>
      <c r="H72" s="25"/>
      <c r="I72" s="25"/>
    </row>
    <row r="73" spans="1:9" ht="12.75">
      <c r="A73" s="31"/>
      <c r="B73" s="38"/>
      <c r="C73" s="24"/>
      <c r="D73" s="25"/>
      <c r="E73" s="37" t="e">
        <f>B70*100+B71*10+B72</f>
        <v>#REF!</v>
      </c>
      <c r="F73" s="25" t="e">
        <f>IF(E73+E69+E65+E61=0,"ноль рублей ",IF(C72=1,"рубль ",IF(OR(C72=2,C72=3,C72=4),"рубля ","рублей ")))</f>
        <v>#REF!</v>
      </c>
      <c r="G73" s="24"/>
      <c r="H73" s="25"/>
      <c r="I73" s="25"/>
    </row>
    <row r="74" spans="1:9" ht="12.75">
      <c r="A74" s="39" t="e">
        <f>ROUND(100*(E45-E56),0)</f>
        <v>#REF!</v>
      </c>
      <c r="B74" s="25"/>
      <c r="C74" s="24" t="e">
        <f>TRUNC(A74/10)</f>
        <v>#REF!</v>
      </c>
      <c r="D74" s="25"/>
      <c r="E74" s="37" t="e">
        <f>IF(OR(C74=1,C74=0),"",IF(C74=2,E78,IF(C74=3,E79,IF(C74=4,E80,IF(C74=5,E81,IF(C74=6,E82,IF(C74=7,E83,IF(C74=8,E84,E85))))))))</f>
        <v>#REF!</v>
      </c>
      <c r="F74" s="25"/>
      <c r="G74" s="25"/>
      <c r="H74" s="24"/>
      <c r="I74" s="25"/>
    </row>
    <row r="75" spans="1:9" ht="12.75">
      <c r="A75" s="25"/>
      <c r="B75" s="25"/>
      <c r="C75" s="24" t="e">
        <f>TRUNC(A74-C74*10)</f>
        <v>#REF!</v>
      </c>
      <c r="D75" s="25"/>
      <c r="E75" s="37" t="e">
        <f>IF(C75=1,B77,IF(C75=2,B78,IF(C75=3,A79,IF(C75=4,A80,IF(C75=5,A81,IF(C75=6,A82,IF(C75=7,A83,IF(C75=8,A84,A85))))))))</f>
        <v>#REF!</v>
      </c>
      <c r="F75" s="25"/>
      <c r="G75" s="25"/>
      <c r="H75" s="24"/>
      <c r="I75" s="25"/>
    </row>
    <row r="76" spans="1:9" ht="12.75">
      <c r="A76" s="25"/>
      <c r="B76" s="25"/>
      <c r="C76" s="25"/>
      <c r="D76" s="25"/>
      <c r="E76" s="25"/>
      <c r="F76" s="25"/>
      <c r="G76" s="25"/>
      <c r="H76" s="24"/>
      <c r="I76" s="25"/>
    </row>
    <row r="77" spans="1:9" ht="12.75">
      <c r="A77" s="25" t="s">
        <v>8</v>
      </c>
      <c r="B77" s="25" t="s">
        <v>9</v>
      </c>
      <c r="C77" s="25"/>
      <c r="D77" s="25" t="s">
        <v>10</v>
      </c>
      <c r="E77" s="25"/>
      <c r="F77" s="25"/>
      <c r="G77" s="25"/>
      <c r="H77" s="24"/>
      <c r="I77" s="25"/>
    </row>
    <row r="78" spans="1:9" ht="12.75">
      <c r="A78" s="25" t="s">
        <v>11</v>
      </c>
      <c r="B78" s="25" t="s">
        <v>12</v>
      </c>
      <c r="C78" s="25"/>
      <c r="D78" s="25" t="s">
        <v>13</v>
      </c>
      <c r="E78" s="25" t="s">
        <v>14</v>
      </c>
      <c r="F78" s="25"/>
      <c r="G78" s="25" t="s">
        <v>15</v>
      </c>
      <c r="H78" s="25"/>
      <c r="I78" s="25"/>
    </row>
    <row r="79" spans="1:9" ht="12.75">
      <c r="A79" s="25" t="s">
        <v>16</v>
      </c>
      <c r="B79" s="25"/>
      <c r="C79" s="25"/>
      <c r="D79" s="25" t="s">
        <v>17</v>
      </c>
      <c r="E79" s="25" t="s">
        <v>18</v>
      </c>
      <c r="F79" s="25"/>
      <c r="G79" s="25" t="s">
        <v>19</v>
      </c>
      <c r="H79" s="25"/>
      <c r="I79" s="25"/>
    </row>
    <row r="80" spans="1:9" ht="12.75">
      <c r="A80" s="25" t="s">
        <v>20</v>
      </c>
      <c r="B80" s="25"/>
      <c r="C80" s="25"/>
      <c r="D80" s="25" t="s">
        <v>21</v>
      </c>
      <c r="E80" s="25" t="s">
        <v>22</v>
      </c>
      <c r="F80" s="25"/>
      <c r="G80" s="25" t="s">
        <v>23</v>
      </c>
      <c r="H80" s="25"/>
      <c r="I80" s="25"/>
    </row>
    <row r="81" spans="1:9" ht="12.75">
      <c r="A81" s="25" t="s">
        <v>24</v>
      </c>
      <c r="B81" s="25"/>
      <c r="C81" s="25"/>
      <c r="D81" s="25" t="s">
        <v>25</v>
      </c>
      <c r="E81" s="25" t="s">
        <v>26</v>
      </c>
      <c r="F81" s="25"/>
      <c r="G81" s="25" t="s">
        <v>27</v>
      </c>
      <c r="H81" s="25"/>
      <c r="I81" s="25"/>
    </row>
    <row r="82" spans="1:9" ht="12.75">
      <c r="A82" s="25" t="s">
        <v>28</v>
      </c>
      <c r="B82" s="25"/>
      <c r="C82" s="25"/>
      <c r="D82" s="25" t="s">
        <v>29</v>
      </c>
      <c r="E82" s="25" t="s">
        <v>30</v>
      </c>
      <c r="F82" s="25"/>
      <c r="G82" s="25" t="s">
        <v>31</v>
      </c>
      <c r="H82" s="25"/>
      <c r="I82" s="25"/>
    </row>
    <row r="83" spans="1:9" ht="12.75">
      <c r="A83" s="25" t="s">
        <v>32</v>
      </c>
      <c r="B83" s="25"/>
      <c r="C83" s="25"/>
      <c r="D83" s="25" t="s">
        <v>33</v>
      </c>
      <c r="E83" s="25" t="s">
        <v>34</v>
      </c>
      <c r="F83" s="25"/>
      <c r="G83" s="25" t="s">
        <v>35</v>
      </c>
      <c r="H83" s="25"/>
      <c r="I83" s="25"/>
    </row>
    <row r="84" spans="1:9" ht="12.75">
      <c r="A84" s="40" t="s">
        <v>36</v>
      </c>
      <c r="B84" s="25"/>
      <c r="C84" s="25"/>
      <c r="D84" s="25" t="s">
        <v>37</v>
      </c>
      <c r="E84" s="25" t="s">
        <v>38</v>
      </c>
      <c r="F84" s="25"/>
      <c r="G84" s="25" t="s">
        <v>39</v>
      </c>
      <c r="H84" s="25"/>
      <c r="I84" s="25"/>
    </row>
    <row r="85" spans="1:9" ht="12.75">
      <c r="A85" s="25" t="s">
        <v>40</v>
      </c>
      <c r="B85" s="25"/>
      <c r="C85" s="25"/>
      <c r="D85" s="25" t="s">
        <v>41</v>
      </c>
      <c r="E85" s="25" t="s">
        <v>42</v>
      </c>
      <c r="F85" s="25"/>
      <c r="G85" s="25" t="s">
        <v>43</v>
      </c>
      <c r="H85" s="25"/>
      <c r="I85" s="25"/>
    </row>
    <row r="86" spans="1:9" ht="12.75">
      <c r="A86" s="25"/>
      <c r="B86" s="25"/>
      <c r="C86" s="25"/>
      <c r="D86" s="25" t="s">
        <v>44</v>
      </c>
      <c r="E86" s="25" t="s">
        <v>45</v>
      </c>
      <c r="F86" s="25"/>
      <c r="G86" s="25"/>
      <c r="H86" s="24"/>
      <c r="I86" s="25"/>
    </row>
    <row r="96" spans="1:4" ht="12.75">
      <c r="A96" s="214"/>
      <c r="B96" s="214"/>
      <c r="C96" s="214"/>
      <c r="D96" s="214"/>
    </row>
  </sheetData>
  <sheetProtection password="E07F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2016-04-06T09:38:37Z</cp:lastPrinted>
  <dcterms:created xsi:type="dcterms:W3CDTF">2003-10-18T11:05:50Z</dcterms:created>
  <dcterms:modified xsi:type="dcterms:W3CDTF">2021-03-17T08:46:55Z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