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605" tabRatio="926" activeTab="0"/>
  </bookViews>
  <sheets>
    <sheet name="Исковое заявление" sheetId="1" r:id="rId1"/>
    <sheet name="Лист1" sheetId="2" state="hidden" r:id="rId2"/>
    <sheet name="Заявление" sheetId="3" r:id="rId3"/>
    <sheet name="Жалобы" sheetId="4" r:id="rId4"/>
    <sheet name="Ходатайства" sheetId="5" r:id="rId5"/>
    <sheet name="Выдача дубликатов" sheetId="6" r:id="rId6"/>
    <sheet name="Ставки госпошлин" sheetId="7" r:id="rId7"/>
  </sheets>
  <definedNames>
    <definedName name="CA0_ПРЛ_16_1" localSheetId="6">'Ставки госпошлин'!$D$3</definedName>
    <definedName name="инд">'Жалобы'!$B$23</definedName>
    <definedName name="_xlnm.Print_Area" localSheetId="5">'Выдача дубликатов'!$C$3:$AH$12</definedName>
    <definedName name="_xlnm.Print_Area" localSheetId="3">'Жалобы'!$C$3:$AN$20</definedName>
    <definedName name="_xlnm.Print_Area" localSheetId="2">'Заявление'!$C$3:$AZ$24</definedName>
    <definedName name="_xlnm.Print_Area" localSheetId="0">'Исковое заявление'!$C$3:$BE$26</definedName>
    <definedName name="_xlnm.Print_Area" localSheetId="6">'Ставки госпошлин'!$C$3:$D$56</definedName>
    <definedName name="_xlnm.Print_Area" localSheetId="4">'Ходатайства'!$C$3:$AB$13</definedName>
  </definedNames>
  <calcPr fullCalcOnLoad="1" refMode="R1C1"/>
</workbook>
</file>

<file path=xl/comments1.xml><?xml version="1.0" encoding="utf-8"?>
<comments xmlns="http://schemas.openxmlformats.org/spreadsheetml/2006/main">
  <authors>
    <author>shimanovich</author>
  </authors>
  <commentList>
    <comment ref="AG20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AB22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AG22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AL22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AG24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AL24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AG26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AG28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</commentList>
</comments>
</file>

<file path=xl/comments3.xml><?xml version="1.0" encoding="utf-8"?>
<comments xmlns="http://schemas.openxmlformats.org/spreadsheetml/2006/main">
  <authors>
    <author>shimanovich</author>
  </authors>
  <commentList>
    <comment ref="AO15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AU13" authorId="0">
      <text>
        <r>
          <rPr>
            <b/>
            <sz val="8"/>
            <rFont val="Tahoma"/>
            <family val="2"/>
          </rPr>
          <t>10 базовых величин</t>
        </r>
      </text>
    </comment>
    <comment ref="AU17" authorId="0">
      <text>
        <r>
          <rPr>
            <b/>
            <sz val="8"/>
            <rFont val="Tahoma"/>
            <family val="2"/>
          </rPr>
          <t>10 базовых величин</t>
        </r>
      </text>
    </comment>
    <comment ref="AU19" authorId="0">
      <text>
        <r>
          <rPr>
            <b/>
            <sz val="8"/>
            <rFont val="Tahoma"/>
            <family val="2"/>
          </rPr>
          <t>10 базовых величин</t>
        </r>
      </text>
    </comment>
    <comment ref="AU21" authorId="0">
      <text>
        <r>
          <rPr>
            <b/>
            <sz val="8"/>
            <rFont val="Tahoma"/>
            <family val="2"/>
          </rPr>
          <t>10 базовых величин</t>
        </r>
      </text>
    </comment>
  </commentList>
</comments>
</file>

<file path=xl/comments4.xml><?xml version="1.0" encoding="utf-8"?>
<comments xmlns="http://schemas.openxmlformats.org/spreadsheetml/2006/main">
  <authors>
    <author>shimanovich</author>
  </authors>
  <commentList>
    <comment ref="AI16" authorId="0">
      <text>
        <r>
          <rPr>
            <b/>
            <sz val="8"/>
            <rFont val="Tahoma"/>
            <family val="2"/>
          </rPr>
          <t>10 базовых величин</t>
        </r>
      </text>
    </comment>
    <comment ref="AI18" authorId="0">
      <text>
        <r>
          <rPr>
            <b/>
            <sz val="8"/>
            <rFont val="Tahoma"/>
            <family val="2"/>
          </rPr>
          <t>0,5 базовых величин</t>
        </r>
      </text>
    </comment>
    <comment ref="AC14" authorId="0">
      <text>
        <r>
          <rPr>
            <b/>
            <sz val="8"/>
            <rFont val="Tahoma"/>
            <family val="2"/>
          </rPr>
          <t>Выберите из раскрывающегося списка нужный вариант</t>
        </r>
      </text>
    </comment>
    <comment ref="AI14" authorId="0">
      <text>
        <r>
          <rPr>
            <b/>
            <sz val="8"/>
            <rFont val="Tahoma"/>
            <family val="2"/>
          </rPr>
          <t>1 базовая величина</t>
        </r>
      </text>
    </comment>
    <comment ref="AI12" authorId="0">
      <text>
        <r>
          <rPr>
            <b/>
            <sz val="8"/>
            <rFont val="Tahoma"/>
            <family val="2"/>
          </rPr>
          <t>1 базовая величина</t>
        </r>
      </text>
    </comment>
  </commentList>
</comments>
</file>

<file path=xl/comments5.xml><?xml version="1.0" encoding="utf-8"?>
<comments xmlns="http://schemas.openxmlformats.org/spreadsheetml/2006/main">
  <authors>
    <author>shimanovich</author>
  </authors>
  <commentList>
    <comment ref="W8" authorId="0">
      <text>
        <r>
          <rPr>
            <b/>
            <sz val="8"/>
            <rFont val="Tahoma"/>
            <family val="2"/>
          </rPr>
          <t>10 базовых величин</t>
        </r>
      </text>
    </comment>
    <comment ref="W9" authorId="0">
      <text>
        <r>
          <rPr>
            <b/>
            <sz val="8"/>
            <rFont val="Tahoma"/>
            <family val="2"/>
          </rPr>
          <t>10 базовых величин</t>
        </r>
      </text>
    </comment>
    <comment ref="W10" authorId="0">
      <text>
        <r>
          <rPr>
            <b/>
            <sz val="8"/>
            <rFont val="Tahoma"/>
            <family val="2"/>
          </rPr>
          <t>10 базовых величин</t>
        </r>
      </text>
    </comment>
  </commentList>
</comments>
</file>

<file path=xl/sharedStrings.xml><?xml version="1.0" encoding="utf-8"?>
<sst xmlns="http://schemas.openxmlformats.org/spreadsheetml/2006/main" count="281" uniqueCount="132">
  <si>
    <t>Синий цвет обозначает, что заполнение данных ячеек происходит автоматически</t>
  </si>
  <si>
    <t>х</t>
  </si>
  <si>
    <t>Калькулятор ставок госпошлины</t>
  </si>
  <si>
    <t>Наименование документа, за который взимается госпошлина</t>
  </si>
  <si>
    <t>Цена иска, руб.</t>
  </si>
  <si>
    <t>Истец в первой инстанции</t>
  </si>
  <si>
    <t>Тип обращения</t>
  </si>
  <si>
    <t>Суд первой инстанции</t>
  </si>
  <si>
    <t>Сумма государственной пошлины, руб.</t>
  </si>
  <si>
    <t>Возврат части госпошлины в случае достижения примирения в примирительной процедуре по всем заявленным требованиям, руб.</t>
  </si>
  <si>
    <t>Возврат части госпошлины в случае, если сторонами заключено мировое соглашение по всем заявленным требованиям в целом вне примирительной процедуры, руб.</t>
  </si>
  <si>
    <t>обращения в первую инстанцию</t>
  </si>
  <si>
    <t>апелляционные жалобы</t>
  </si>
  <si>
    <t>кассационные жалобы</t>
  </si>
  <si>
    <t>жалобы о пересмотре</t>
  </si>
  <si>
    <t>юридическое лицо</t>
  </si>
  <si>
    <t>ИП или граждане</t>
  </si>
  <si>
    <t>Высший Хозяйственный Суд</t>
  </si>
  <si>
    <t>другие хозяйственные суды</t>
  </si>
  <si>
    <t>Заявление об установлении фактов, имеющих юридическое значение</t>
  </si>
  <si>
    <t>Заявление о признании и приведении в исполнение решения иностранного суда или иностранного арбитражного решения</t>
  </si>
  <si>
    <t>Размер штрафа, руб.</t>
  </si>
  <si>
    <t>Административное взыскание</t>
  </si>
  <si>
    <t>Жалобы на постановления по делам об административных правонарушениях</t>
  </si>
  <si>
    <t>Жалобы на нотариальные действия или отказ в их совершении</t>
  </si>
  <si>
    <t>В виде штрафа</t>
  </si>
  <si>
    <t>Иное</t>
  </si>
  <si>
    <t>Количество листов в документе</t>
  </si>
  <si>
    <t>к Налоговому кодексу</t>
  </si>
  <si>
    <t>Республики Беларусь</t>
  </si>
  <si>
    <t>Ставки государственной пошлины</t>
  </si>
  <si>
    <t xml:space="preserve"> </t>
  </si>
  <si>
    <t>15 базовых величин</t>
  </si>
  <si>
    <t>5 процентов от 1000 базовых величин плюс 3 процента от суммы, превышающей 1000 базовых величин</t>
  </si>
  <si>
    <t>20 базовых величин</t>
  </si>
  <si>
    <t>10 базовых величин</t>
  </si>
  <si>
    <t>2 базовые величины</t>
  </si>
  <si>
    <t>5 базовых величин</t>
  </si>
  <si>
    <t>0,5 базовой величины</t>
  </si>
  <si>
    <t>3 базовые величины</t>
  </si>
  <si>
    <t>1 базовая величина</t>
  </si>
  <si>
    <t>0,2 базовой величины и, кроме того, 0,03 базовой величины за каждую изготовленную страницу</t>
  </si>
  <si>
    <t>штраф</t>
  </si>
  <si>
    <t>иное</t>
  </si>
  <si>
    <t>Заявление о возбуждении приказного производства</t>
  </si>
  <si>
    <t>Заявление кредитора о признании  юридических лиц и индивидуальных предпринимателей экономически несостоятельными (банкротами)</t>
  </si>
  <si>
    <t>Судебная коллегия по экономическим делам Верховного Суда</t>
  </si>
  <si>
    <t>экономические суды</t>
  </si>
  <si>
    <t>жалобы на ответы на обращения</t>
  </si>
  <si>
    <t>гражданин</t>
  </si>
  <si>
    <t>ИП</t>
  </si>
  <si>
    <t>Иные жалобы, не указанные в пунктах выше</t>
  </si>
  <si>
    <t>О наложении административного взыскания</t>
  </si>
  <si>
    <t>О прекращении дела об административном правонарушении</t>
  </si>
  <si>
    <t>25 базовых величин</t>
  </si>
  <si>
    <t>в судебную коллегию по экономическим делам Верховного Суда Республики Беларусь</t>
  </si>
  <si>
    <t>в экономические суды областей (города Минска)</t>
  </si>
  <si>
    <t>10 базовых величин по каждому требованию (акту)</t>
  </si>
  <si>
    <t>50 базовых величин</t>
  </si>
  <si>
    <t>40 процентов ставки, установленной за рассмотрение искового заявления (заявления, жалобы), а по имущественным спорам – ставки, исчисленной исходя из оспариваемой суммы</t>
  </si>
  <si>
    <t>80 процентов ставки, установленной за рассмотрение искового заявления (заявления, жалобы), а по имущественным спорам – от ставки, исчисленной исходя из оспариваемой суммы</t>
  </si>
  <si>
    <t>менее 10 базовых величин</t>
  </si>
  <si>
    <t>от 10 до 100 базовых величин</t>
  </si>
  <si>
    <t>от 100 базовых величин и более</t>
  </si>
  <si>
    <t>12. Рассмотрение заявления о выдаче исполнительного документа на принудительное исполнение решения третейского суда, международного арбитражного (третейского) суда, иного постоянного арбитражного органа, медиативного соглашения</t>
  </si>
  <si>
    <t>Выдача дубликатов, копий постановлений судебной коллегии по экономическим делам Верховного Суда Республики Беларусь, экономических судов областей (города Минска), а также копий других документов, находящихся в деле, выдаваемых по письменной просьбе сторон и других участников процесса</t>
  </si>
  <si>
    <t>Ходатайство об отмене решения третейского суда, международного арбитражного (третейского) суда, находящегося на территории Республики Беларусь, иного постоянного арбитражного органа</t>
  </si>
  <si>
    <t>Заявления о выдаче исполнительного документа на принудительное исполнение решения третейского суда, международного арбитражного (третейского) суда, иного постоянного арбитражного органа, медиативного соглашения</t>
  </si>
  <si>
    <t>Ходатайство об обеспечении иска, рассматриваемого международным арбитражным (третейским) судом, третейским судом</t>
  </si>
  <si>
    <t>Заявление о выдаче исполнительного документа на принудительное исполнение решения третейского суда, международного арбитражного (третейского) суда, иного постоянного арбитражного органа, медиативного соглашения</t>
  </si>
  <si>
    <t>Исковые заявления имущественного характера</t>
  </si>
  <si>
    <t>Исковые заявления по спорам:
- связанным с заключением, изменением или расторжением договора;
- о признании договора незаключенным;
- о признании сделки недействительной;
- об установлении факта ничтожности сделки</t>
  </si>
  <si>
    <t xml:space="preserve"> - исковые заявления (заявления) неимущественного характера, в том числе заявления по хозяйственным (экономическим) спорам и иным делам, возникающим из административных и иных публичных правоотношений неимущественного характера;
 - жалобы на ответ на обращение юрлица (ИП) или физического лица;
 - жалобы на постановление, действие (бездействие) судебного исполнителя</t>
  </si>
  <si>
    <t>Исковые заявления по спорам о качестве поставленного товара</t>
  </si>
  <si>
    <t>Исковые заявления о привлечении к субсидиарной ответственности</t>
  </si>
  <si>
    <t>надзорные жалобы</t>
  </si>
  <si>
    <t>Приложение 15</t>
  </si>
  <si>
    <t>Ставки государственной пошлины при обращении в судебную коллегию по экономическим делам Верховного Суда Республики Беларусь, экономические суды областей (города Минска)</t>
  </si>
  <si>
    <t>Наименование действий, за которые взимается государственная пошлина</t>
  </si>
  <si>
    <t>1.1.1. до 100 базовых величин</t>
  </si>
  <si>
    <t>1.1.2. от 100 до 1000 базовых величин</t>
  </si>
  <si>
    <t>1.1.3. от 1000 до 10 000 базовых величин</t>
  </si>
  <si>
    <t>1.1.4. от 10 000 базовых величин и более</t>
  </si>
  <si>
    <t>5 процентов от цены иска, но не менее суммы, установленной подпунктом 1.1.1 настоящего пункта</t>
  </si>
  <si>
    <t>1 процент от цены иска, но не менее суммы, установленной подпунктом 1.1.3 настоящего пункта</t>
  </si>
  <si>
    <t>1.2. о привлечении к субсидиарной ответственности по долгам юридического лица</t>
  </si>
  <si>
    <t>2. Рассмотрение искового заявления по спору о качестве поставленного товара</t>
  </si>
  <si>
    <t>3. Рассмотрение искового заявления (заявления) неимущественного характера, в том числе заявления по хозяйственным (экономическим) спорам и иным делам, возникающим из административных и иных публичных правоотношений неимущественного характера, жалобы на ответ на обращение юридического лица, индивидуального предпринимателя или физического лица, жалобы на постановление, действие (бездействие) судебного исполнителя, подаваемой:</t>
  </si>
  <si>
    <t>3.1. юридическим лицом:</t>
  </si>
  <si>
    <t xml:space="preserve">3.2. индивидуальным предпринимателем </t>
  </si>
  <si>
    <t xml:space="preserve">3.3. физическим лицом </t>
  </si>
  <si>
    <t>4. Рассмотрение искового заявления по спорам, связанным с заключением, изменением или расторжением договора, о признании договора незаключенным, о признании сделки недействительной, об установлении факта ничтожности сделки, подлежащего рассмотрению:</t>
  </si>
  <si>
    <t>4.1. в судебной коллегии по экономическим делам Верховного Суда Республики Беларусь</t>
  </si>
  <si>
    <t>4.2. в экономических судах областей (города Минска)</t>
  </si>
  <si>
    <t>5. Рассмотрение заявления о возбуждении приказного производства при сумме взыскания:</t>
  </si>
  <si>
    <t>5.1. до 100 базовых величин</t>
  </si>
  <si>
    <t>5.2. от 100 до 300 базовых величин</t>
  </si>
  <si>
    <t>5.3. от 300 базовых величин и более</t>
  </si>
  <si>
    <t>6. Рассмотрение жалобы:</t>
  </si>
  <si>
    <t>6.1. апелляционной</t>
  </si>
  <si>
    <t>6.2. кассационной</t>
  </si>
  <si>
    <t xml:space="preserve">6.3. надзорной </t>
  </si>
  <si>
    <t>7. Рассмотрение жалобы на постановление по делу об административном правонарушении:</t>
  </si>
  <si>
    <t>7.1. о наложении:</t>
  </si>
  <si>
    <t>7.1.1. штрафа в размере:</t>
  </si>
  <si>
    <t>7.1.2. иного административного взыскания</t>
  </si>
  <si>
    <t>7.2. не связанное с наложением административного взыскания, в том числе о прекращении дела об административном правонарушении</t>
  </si>
  <si>
    <t>8. Рассмотрение заявления о признании юридического лица или индивидуального предпринимателя экономически несостоятельным (банкротом), подаваемого кредитором</t>
  </si>
  <si>
    <t>9. Рассмотрение заявления об установлении фактов, имеющих юридическое значение:</t>
  </si>
  <si>
    <t>9.1. подаваемого в судебную коллегию по экономическим делам Верховного Суда Республики Беларусь</t>
  </si>
  <si>
    <t>9.2. подаваемого в экономические суды областей (города Минска)</t>
  </si>
  <si>
    <t>10. Рассмотрение жалобы на нотариальные действия или отказ в их совершении</t>
  </si>
  <si>
    <t>11. Рассмотрение ходатайства об отмене решения третейского суда, международного арбитражного (третейского) суда, находящегося на территории Республики Беларусь, иного постоянного арбитражного органа</t>
  </si>
  <si>
    <t>13. Рассмотрение ходатайства об обеспечении иска, рассматриваемого международным арбитражным (третейским) судом, третейским судом</t>
  </si>
  <si>
    <t>14. Рассмотрение заявления о признании и приведении в исполнение решения иностранного суда или иностранного арбитражного решения</t>
  </si>
  <si>
    <t>15. Рассмотрение иной жалобы, не указанной в пунктах 3, 6, 7 и 10 настоящего приложения</t>
  </si>
  <si>
    <t>16. Выдача судом дубликатов, копий документов</t>
  </si>
  <si>
    <t xml:space="preserve">1. Рассмотрение исковых заявлений </t>
  </si>
  <si>
    <t>1.1. имущественного характера при цене иска:</t>
  </si>
  <si>
    <t>80 процентов ставки, установленной соответственно подпунктами 1.1.1–1.1.4 пункта 1 настоящего приложения</t>
  </si>
  <si>
    <t>50 базовых величин по каждому требованию (акту)</t>
  </si>
  <si>
    <t>20 базовых величин по каждому требованию (акту)</t>
  </si>
  <si>
    <t>5 базовых величин по каждому требованию (акту)</t>
  </si>
  <si>
    <t>7 базовых величин</t>
  </si>
  <si>
    <t>Расчет госпошлины производится исходя из размера базовой величины, бел. руб.:</t>
  </si>
  <si>
    <t>иск зая</t>
  </si>
  <si>
    <t>цена иска</t>
  </si>
  <si>
    <t>бв</t>
  </si>
  <si>
    <t>до 100 бв</t>
  </si>
  <si>
    <t>100-1000 бв</t>
  </si>
  <si>
    <t>1-10к бв</t>
  </si>
  <si>
    <t>10к+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</si>
</sst>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00"/>
    <numFmt numFmtId="176" formatCode="_(* #,##0.000_);_(* \(#,##0.000\);_(* &quot;-&quot;??_);_(@_)"/>
    <numFmt numFmtId="177" formatCode="_(* #,##0_);_(* \(#,##0\);_(* &quot;-&quot;??_);_(@_)"/>
    <numFmt numFmtId="178" formatCode="d\ mmmm\,\ 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  <numFmt numFmtId="184" formatCode="#,##0.0"/>
    <numFmt numFmtId="185" formatCode="0.0"/>
    <numFmt numFmtId="186" formatCode="[$-FC19]d\ mmmm\ yyyy\ &quot;г.&quot;"/>
    <numFmt numFmtId="187" formatCode="_-* #,##0.0\ _₽_-;\-* #,##0.0\ _₽_-;_-* &quot;-&quot;?\ _₽_-;_-@_-"/>
    <numFmt numFmtId="188" formatCode="#,##0.0_ ;\-#,##0.0\ 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b/>
      <sz val="12"/>
      <color indexed="48"/>
      <name val="Tahoma"/>
      <family val="2"/>
    </font>
    <font>
      <b/>
      <sz val="8"/>
      <name val="Tahoma"/>
      <family val="2"/>
    </font>
    <font>
      <sz val="8"/>
      <color indexed="43"/>
      <name val="Tahoma"/>
      <family val="2"/>
    </font>
    <font>
      <sz val="8"/>
      <color indexed="48"/>
      <name val="Tahoma"/>
      <family val="2"/>
    </font>
    <font>
      <sz val="8"/>
      <color indexed="12"/>
      <name val="Tahoma"/>
      <family val="2"/>
    </font>
    <font>
      <b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sz val="10"/>
      <color indexed="10"/>
      <name val="Arial Cyr"/>
      <family val="0"/>
    </font>
    <font>
      <sz val="10"/>
      <color indexed="43"/>
      <name val="Arial Cyr"/>
      <family val="0"/>
    </font>
    <font>
      <sz val="7"/>
      <color indexed="4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172" fontId="3" fillId="33" borderId="0" xfId="43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0" fontId="3" fillId="34" borderId="0" xfId="0" applyFont="1" applyFill="1" applyBorder="1" applyAlignment="1">
      <alignment/>
    </xf>
    <xf numFmtId="0" fontId="8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1" fillId="34" borderId="0" xfId="42" applyFill="1" applyAlignment="1" applyProtection="1">
      <alignment/>
      <protection/>
    </xf>
    <xf numFmtId="0" fontId="12" fillId="34" borderId="0" xfId="42" applyFont="1" applyFill="1" applyAlignment="1" applyProtection="1">
      <alignment horizontal="left" indent="15"/>
      <protection/>
    </xf>
    <xf numFmtId="0" fontId="12" fillId="34" borderId="0" xfId="42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 hidden="1"/>
    </xf>
    <xf numFmtId="0" fontId="11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19" xfId="0" applyFont="1" applyBorder="1" applyAlignment="1">
      <alignment horizontal="left" vertical="center" wrapText="1" indent="1"/>
    </xf>
    <xf numFmtId="0" fontId="13" fillId="0" borderId="19" xfId="0" applyFont="1" applyBorder="1" applyAlignment="1">
      <alignment horizontal="left" vertical="center" wrapText="1" indent="2"/>
    </xf>
    <xf numFmtId="0" fontId="0" fillId="0" borderId="0" xfId="42" applyFont="1" applyAlignment="1" applyProtection="1">
      <alignment horizontal="left"/>
      <protection/>
    </xf>
    <xf numFmtId="0" fontId="3" fillId="34" borderId="0" xfId="0" applyFont="1" applyFill="1" applyAlignment="1">
      <alignment/>
    </xf>
    <xf numFmtId="0" fontId="14" fillId="32" borderId="0" xfId="0" applyFont="1" applyFill="1" applyAlignment="1" applyProtection="1">
      <alignment vertical="center"/>
      <protection hidden="1"/>
    </xf>
    <xf numFmtId="0" fontId="14" fillId="32" borderId="0" xfId="0" applyFont="1" applyFill="1" applyBorder="1" applyAlignment="1" applyProtection="1">
      <alignment vertical="center"/>
      <protection hidden="1"/>
    </xf>
    <xf numFmtId="0" fontId="8" fillId="32" borderId="0" xfId="0" applyFont="1" applyFill="1" applyBorder="1" applyAlignment="1" applyProtection="1">
      <alignment vertical="center"/>
      <protection hidden="1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vertical="center" wrapText="1"/>
      <protection hidden="1"/>
    </xf>
    <xf numFmtId="0" fontId="8" fillId="35" borderId="0" xfId="0" applyFont="1" applyFill="1" applyAlignment="1" applyProtection="1">
      <alignment/>
      <protection locked="0"/>
    </xf>
    <xf numFmtId="0" fontId="15" fillId="32" borderId="0" xfId="0" applyFont="1" applyFill="1" applyAlignment="1" applyProtection="1">
      <alignment vertical="center"/>
      <protection hidden="1"/>
    </xf>
    <xf numFmtId="0" fontId="15" fillId="32" borderId="0" xfId="0" applyFont="1" applyFill="1" applyBorder="1" applyAlignment="1" applyProtection="1">
      <alignment vertical="center"/>
      <protection hidden="1"/>
    </xf>
    <xf numFmtId="0" fontId="16" fillId="32" borderId="0" xfId="0" applyFont="1" applyFill="1" applyAlignment="1" applyProtection="1">
      <alignment vertical="center"/>
      <protection hidden="1"/>
    </xf>
    <xf numFmtId="0" fontId="17" fillId="32" borderId="0" xfId="0" applyFont="1" applyFill="1" applyAlignment="1" applyProtection="1">
      <alignment vertical="center"/>
      <protection hidden="1"/>
    </xf>
    <xf numFmtId="0" fontId="17" fillId="32" borderId="0" xfId="0" applyFont="1" applyFill="1" applyBorder="1" applyAlignment="1" applyProtection="1">
      <alignment vertical="center"/>
      <protection hidden="1"/>
    </xf>
    <xf numFmtId="171" fontId="17" fillId="32" borderId="0" xfId="0" applyNumberFormat="1" applyFont="1" applyFill="1" applyAlignment="1" applyProtection="1">
      <alignment vertical="center"/>
      <protection locked="0"/>
    </xf>
    <xf numFmtId="171" fontId="17" fillId="32" borderId="0" xfId="0" applyNumberFormat="1" applyFont="1" applyFill="1" applyAlignment="1" applyProtection="1">
      <alignment vertical="center"/>
      <protection hidden="1"/>
    </xf>
    <xf numFmtId="185" fontId="8" fillId="32" borderId="0" xfId="0" applyNumberFormat="1" applyFont="1" applyFill="1" applyAlignment="1" applyProtection="1">
      <alignment vertical="center"/>
      <protection hidden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9" xfId="0" applyNumberFormat="1" applyFont="1" applyBorder="1" applyAlignment="1">
      <alignment vertical="center" wrapText="1"/>
    </xf>
    <xf numFmtId="188" fontId="8" fillId="32" borderId="0" xfId="0" applyNumberFormat="1" applyFont="1" applyFill="1" applyAlignment="1" applyProtection="1">
      <alignment vertical="center"/>
      <protection hidden="1"/>
    </xf>
    <xf numFmtId="0" fontId="16" fillId="32" borderId="0" xfId="0" applyFont="1" applyFill="1" applyBorder="1" applyAlignment="1" applyProtection="1">
      <alignment vertical="center"/>
      <protection hidden="1"/>
    </xf>
    <xf numFmtId="43" fontId="17" fillId="32" borderId="0" xfId="0" applyNumberFormat="1" applyFont="1" applyFill="1" applyBorder="1" applyAlignment="1" applyProtection="1">
      <alignment vertical="center"/>
      <protection locked="0"/>
    </xf>
    <xf numFmtId="43" fontId="17" fillId="32" borderId="0" xfId="0" applyNumberFormat="1" applyFont="1" applyFill="1" applyAlignment="1" applyProtection="1">
      <alignment vertical="center"/>
      <protection locked="0"/>
    </xf>
    <xf numFmtId="171" fontId="16" fillId="32" borderId="0" xfId="0" applyNumberFormat="1" applyFont="1" applyFill="1" applyAlignment="1" applyProtection="1">
      <alignment vertical="center"/>
      <protection hidden="1" locked="0"/>
    </xf>
    <xf numFmtId="171" fontId="16" fillId="32" borderId="0" xfId="0" applyNumberFormat="1" applyFont="1" applyFill="1" applyAlignment="1" applyProtection="1">
      <alignment vertical="center"/>
      <protection hidden="1"/>
    </xf>
    <xf numFmtId="43" fontId="17" fillId="32" borderId="0" xfId="0" applyNumberFormat="1" applyFont="1" applyFill="1" applyAlignment="1" applyProtection="1">
      <alignment vertical="center"/>
      <protection hidden="1"/>
    </xf>
    <xf numFmtId="0" fontId="8" fillId="35" borderId="0" xfId="0" applyFont="1" applyFill="1" applyBorder="1" applyAlignment="1">
      <alignment/>
    </xf>
    <xf numFmtId="0" fontId="8" fillId="32" borderId="0" xfId="0" applyFont="1" applyFill="1" applyAlignment="1" applyProtection="1">
      <alignment vertical="center"/>
      <protection hidden="1"/>
    </xf>
    <xf numFmtId="0" fontId="8" fillId="32" borderId="0" xfId="0" applyFont="1" applyFill="1" applyBorder="1" applyAlignment="1" applyProtection="1">
      <alignment vertical="center"/>
      <protection hidden="1"/>
    </xf>
    <xf numFmtId="0" fontId="8" fillId="35" borderId="0" xfId="0" applyFont="1" applyFill="1" applyBorder="1" applyAlignment="1" quotePrefix="1">
      <alignment horizontal="left"/>
    </xf>
    <xf numFmtId="171" fontId="8" fillId="35" borderId="0" xfId="0" applyNumberFormat="1" applyFont="1" applyFill="1" applyBorder="1" applyAlignment="1">
      <alignment/>
    </xf>
    <xf numFmtId="0" fontId="8" fillId="35" borderId="0" xfId="0" applyFont="1" applyFill="1" applyAlignment="1">
      <alignment/>
    </xf>
    <xf numFmtId="0" fontId="8" fillId="32" borderId="0" xfId="0" applyNumberFormat="1" applyFont="1" applyFill="1" applyAlignment="1" applyProtection="1">
      <alignment vertical="center"/>
      <protection hidden="1"/>
    </xf>
    <xf numFmtId="0" fontId="8" fillId="35" borderId="0" xfId="0" applyFont="1" applyFill="1" applyBorder="1" applyAlignment="1" applyProtection="1">
      <alignment wrapText="1"/>
      <protection locked="0"/>
    </xf>
    <xf numFmtId="0" fontId="8" fillId="32" borderId="0" xfId="0" applyFont="1" applyFill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vertical="center" wrapText="1"/>
      <protection hidden="1"/>
    </xf>
    <xf numFmtId="0" fontId="8" fillId="35" borderId="0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3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4" xfId="0" applyNumberFormat="1" applyFont="1" applyFill="1" applyBorder="1" applyAlignment="1" applyProtection="1">
      <alignment horizontal="center" vertical="center" wrapText="1"/>
      <protection hidden="1"/>
    </xf>
    <xf numFmtId="173" fontId="10" fillId="33" borderId="18" xfId="0" applyNumberFormat="1" applyFont="1" applyFill="1" applyBorder="1" applyAlignment="1" applyProtection="1">
      <alignment horizontal="center" vertical="center"/>
      <protection hidden="1"/>
    </xf>
    <xf numFmtId="173" fontId="10" fillId="33" borderId="18" xfId="0" applyNumberFormat="1" applyFont="1" applyFill="1" applyBorder="1" applyAlignment="1" applyProtection="1">
      <alignment horizontal="center" vertical="center"/>
      <protection hidden="1"/>
    </xf>
    <xf numFmtId="173" fontId="10" fillId="35" borderId="22" xfId="0" applyNumberFormat="1" applyFont="1" applyFill="1" applyBorder="1" applyAlignment="1" applyProtection="1">
      <alignment horizontal="center" vertical="center" wrapText="1"/>
      <protection hidden="1"/>
    </xf>
    <xf numFmtId="173" fontId="10" fillId="35" borderId="23" xfId="0" applyNumberFormat="1" applyFont="1" applyFill="1" applyBorder="1" applyAlignment="1" applyProtection="1">
      <alignment horizontal="center" vertical="center" wrapText="1"/>
      <protection hidden="1"/>
    </xf>
    <xf numFmtId="173" fontId="10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23" xfId="0" applyFont="1" applyFill="1" applyBorder="1" applyAlignment="1" applyProtection="1">
      <alignment horizontal="center" vertical="center" wrapText="1"/>
      <protection hidden="1"/>
    </xf>
    <xf numFmtId="0" fontId="3" fillId="35" borderId="24" xfId="0" applyFont="1" applyFill="1" applyBorder="1" applyAlignment="1" applyProtection="1">
      <alignment horizontal="center" vertical="center" wrapText="1"/>
      <protection hidden="1"/>
    </xf>
    <xf numFmtId="173" fontId="3" fillId="35" borderId="22" xfId="0" applyNumberFormat="1" applyFont="1" applyFill="1" applyBorder="1" applyAlignment="1" applyProtection="1">
      <alignment horizontal="center" vertical="center" wrapText="1"/>
      <protection hidden="1"/>
    </xf>
    <xf numFmtId="173" fontId="3" fillId="35" borderId="23" xfId="0" applyNumberFormat="1" applyFont="1" applyFill="1" applyBorder="1" applyAlignment="1" applyProtection="1">
      <alignment horizontal="center" vertical="center" wrapText="1"/>
      <protection hidden="1"/>
    </xf>
    <xf numFmtId="173" fontId="3" fillId="35" borderId="24" xfId="0" applyNumberFormat="1" applyFont="1" applyFill="1" applyBorder="1" applyAlignment="1" applyProtection="1">
      <alignment horizontal="center" vertical="center" wrapText="1"/>
      <protection hidden="1"/>
    </xf>
    <xf numFmtId="173" fontId="10" fillId="35" borderId="22" xfId="0" applyNumberFormat="1" applyFont="1" applyFill="1" applyBorder="1" applyAlignment="1" applyProtection="1">
      <alignment horizontal="center" vertical="center" wrapText="1"/>
      <protection hidden="1"/>
    </xf>
    <xf numFmtId="173" fontId="10" fillId="35" borderId="23" xfId="0" applyNumberFormat="1" applyFont="1" applyFill="1" applyBorder="1" applyAlignment="1" applyProtection="1">
      <alignment horizontal="center" vertical="center" wrapText="1"/>
      <protection hidden="1"/>
    </xf>
    <xf numFmtId="173" fontId="10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left" vertical="center" wrapText="1"/>
      <protection hidden="1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3" fillId="34" borderId="24" xfId="0" applyFont="1" applyFill="1" applyBorder="1" applyAlignment="1" applyProtection="1">
      <alignment horizontal="left" vertical="center" wrapText="1"/>
      <protection hidden="1"/>
    </xf>
    <xf numFmtId="173" fontId="3" fillId="33" borderId="18" xfId="0" applyNumberFormat="1" applyFont="1" applyFill="1" applyBorder="1" applyAlignment="1" applyProtection="1">
      <alignment horizontal="center" vertical="center"/>
      <protection hidden="1"/>
    </xf>
    <xf numFmtId="14" fontId="3" fillId="33" borderId="18" xfId="0" applyNumberFormat="1" applyFont="1" applyFill="1" applyBorder="1" applyAlignment="1" applyProtection="1">
      <alignment horizontal="center" vertical="center"/>
      <protection hidden="1"/>
    </xf>
    <xf numFmtId="0" fontId="10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32" borderId="0" xfId="0" applyFont="1" applyFill="1" applyAlignment="1" applyProtection="1">
      <alignment horizontal="center" vertical="center"/>
      <protection hidden="1"/>
    </xf>
    <xf numFmtId="0" fontId="3" fillId="34" borderId="18" xfId="0" applyFont="1" applyFill="1" applyBorder="1" applyAlignment="1" applyProtection="1">
      <alignment horizontal="right" vertical="center"/>
      <protection hidden="1"/>
    </xf>
    <xf numFmtId="2" fontId="3" fillId="34" borderId="18" xfId="0" applyNumberFormat="1" applyFont="1" applyFill="1" applyBorder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hidden="1"/>
    </xf>
    <xf numFmtId="0" fontId="3" fillId="36" borderId="25" xfId="0" applyFont="1" applyFill="1" applyBorder="1" applyAlignment="1" applyProtection="1">
      <alignment horizontal="center" vertical="center" wrapText="1"/>
      <protection hidden="1"/>
    </xf>
    <xf numFmtId="0" fontId="3" fillId="36" borderId="26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28" xfId="0" applyFont="1" applyFill="1" applyBorder="1" applyAlignment="1" applyProtection="1">
      <alignment horizontal="center" vertical="center" wrapText="1"/>
      <protection hidden="1"/>
    </xf>
    <xf numFmtId="0" fontId="3" fillId="36" borderId="0" xfId="0" applyFont="1" applyFill="1" applyBorder="1" applyAlignment="1" applyProtection="1">
      <alignment horizontal="center" vertical="center" wrapText="1"/>
      <protection hidden="1"/>
    </xf>
    <xf numFmtId="0" fontId="3" fillId="36" borderId="29" xfId="0" applyFont="1" applyFill="1" applyBorder="1" applyAlignment="1" applyProtection="1">
      <alignment horizontal="center" vertical="center" wrapText="1"/>
      <protection hidden="1"/>
    </xf>
    <xf numFmtId="0" fontId="3" fillId="36" borderId="30" xfId="0" applyFont="1" applyFill="1" applyBorder="1" applyAlignment="1" applyProtection="1">
      <alignment horizontal="center" vertical="center" wrapText="1"/>
      <protection hidden="1"/>
    </xf>
    <xf numFmtId="0" fontId="3" fillId="36" borderId="31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26" xfId="0" applyFont="1" applyFill="1" applyBorder="1" applyAlignment="1" applyProtection="1" quotePrefix="1">
      <alignment horizontal="center" vertical="center" wrapText="1"/>
      <protection hidden="1"/>
    </xf>
    <xf numFmtId="0" fontId="3" fillId="36" borderId="27" xfId="0" applyFont="1" applyFill="1" applyBorder="1" applyAlignment="1" applyProtection="1" quotePrefix="1">
      <alignment horizontal="center" vertical="center" wrapText="1"/>
      <protection hidden="1"/>
    </xf>
    <xf numFmtId="0" fontId="3" fillId="36" borderId="28" xfId="0" applyFont="1" applyFill="1" applyBorder="1" applyAlignment="1" applyProtection="1" quotePrefix="1">
      <alignment horizontal="center" vertical="center" wrapText="1"/>
      <protection hidden="1"/>
    </xf>
    <xf numFmtId="0" fontId="3" fillId="36" borderId="0" xfId="0" applyFont="1" applyFill="1" applyBorder="1" applyAlignment="1" applyProtection="1" quotePrefix="1">
      <alignment horizontal="center" vertical="center" wrapText="1"/>
      <protection hidden="1"/>
    </xf>
    <xf numFmtId="0" fontId="3" fillId="36" borderId="29" xfId="0" applyFont="1" applyFill="1" applyBorder="1" applyAlignment="1" applyProtection="1" quotePrefix="1">
      <alignment horizontal="center" vertical="center" wrapText="1"/>
      <protection hidden="1"/>
    </xf>
    <xf numFmtId="0" fontId="3" fillId="36" borderId="30" xfId="0" applyFont="1" applyFill="1" applyBorder="1" applyAlignment="1" applyProtection="1" quotePrefix="1">
      <alignment horizontal="center" vertical="center" wrapText="1"/>
      <protection hidden="1"/>
    </xf>
    <xf numFmtId="0" fontId="3" fillId="36" borderId="31" xfId="0" applyFont="1" applyFill="1" applyBorder="1" applyAlignment="1" applyProtection="1" quotePrefix="1">
      <alignment horizontal="center" vertical="center" wrapText="1"/>
      <protection hidden="1"/>
    </xf>
    <xf numFmtId="0" fontId="3" fillId="36" borderId="32" xfId="0" applyFont="1" applyFill="1" applyBorder="1" applyAlignment="1" applyProtection="1" quotePrefix="1">
      <alignment horizontal="center" vertical="center" wrapText="1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10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24" xfId="0" applyNumberFormat="1" applyFont="1" applyFill="1" applyBorder="1" applyAlignment="1" applyProtection="1">
      <alignment horizontal="center" vertical="center" wrapText="1"/>
      <protection hidden="1"/>
    </xf>
    <xf numFmtId="171" fontId="3" fillId="33" borderId="18" xfId="0" applyNumberFormat="1" applyFont="1" applyFill="1" applyBorder="1" applyAlignment="1" applyProtection="1">
      <alignment horizontal="center" vertical="center"/>
      <protection hidden="1"/>
    </xf>
    <xf numFmtId="0" fontId="15" fillId="32" borderId="0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171" fontId="10" fillId="33" borderId="18" xfId="0" applyNumberFormat="1" applyFont="1" applyFill="1" applyBorder="1" applyAlignment="1" applyProtection="1">
      <alignment horizontal="center" vertical="center"/>
      <protection hidden="1"/>
    </xf>
    <xf numFmtId="14" fontId="10" fillId="33" borderId="18" xfId="0" applyNumberFormat="1" applyFont="1" applyFill="1" applyBorder="1" applyAlignment="1" applyProtection="1">
      <alignment horizontal="center" vertical="center"/>
      <protection hidden="1"/>
    </xf>
    <xf numFmtId="14" fontId="10" fillId="33" borderId="22" xfId="0" applyNumberFormat="1" applyFont="1" applyFill="1" applyBorder="1" applyAlignment="1" applyProtection="1">
      <alignment horizontal="center" vertical="center" wrapText="1"/>
      <protection hidden="1"/>
    </xf>
    <xf numFmtId="14" fontId="10" fillId="33" borderId="23" xfId="0" applyNumberFormat="1" applyFont="1" applyFill="1" applyBorder="1" applyAlignment="1" applyProtection="1">
      <alignment horizontal="center" vertical="center" wrapText="1"/>
      <protection hidden="1"/>
    </xf>
    <xf numFmtId="14" fontId="10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6" fillId="32" borderId="0" xfId="0" applyFont="1" applyFill="1" applyBorder="1" applyAlignment="1" applyProtection="1">
      <alignment horizontal="left" vertical="center"/>
      <protection hidden="1"/>
    </xf>
    <xf numFmtId="0" fontId="8" fillId="32" borderId="0" xfId="0" applyFont="1" applyFill="1" applyBorder="1" applyAlignment="1" applyProtection="1">
      <alignment horizontal="center" vertical="center"/>
      <protection hidden="1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left" vertical="center" wrapText="1" inden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I168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375" style="1" customWidth="1"/>
    <col min="3" max="3" width="7.75390625" style="1" customWidth="1"/>
    <col min="4" max="4" width="16.125" style="1" customWidth="1"/>
    <col min="5" max="5" width="9.25390625" style="1" customWidth="1"/>
    <col min="6" max="6" width="11.25390625" style="1" customWidth="1"/>
    <col min="7" max="16" width="2.375" style="1" customWidth="1"/>
    <col min="17" max="17" width="2.75390625" style="1" customWidth="1"/>
    <col min="18" max="54" width="2.375" style="1" customWidth="1"/>
    <col min="55" max="55" width="3.125" style="1" customWidth="1"/>
    <col min="56" max="56" width="2.75390625" style="1" customWidth="1"/>
    <col min="57" max="57" width="3.00390625" style="1" customWidth="1"/>
    <col min="58" max="58" width="2.75390625" style="1" customWidth="1"/>
    <col min="59" max="59" width="2.75390625" style="40" customWidth="1"/>
    <col min="60" max="68" width="2.75390625" style="40" hidden="1" customWidth="1"/>
    <col min="69" max="69" width="2.75390625" style="39" hidden="1" customWidth="1"/>
    <col min="70" max="70" width="2.75390625" style="39" customWidth="1"/>
    <col min="71" max="72" width="2.75390625" style="17" customWidth="1"/>
    <col min="73" max="77" width="2.75390625" style="31" customWidth="1"/>
    <col min="78" max="87" width="2.75390625" style="17" customWidth="1"/>
    <col min="88" max="16384" width="2.75390625" style="1" customWidth="1"/>
  </cols>
  <sheetData>
    <row r="1" spans="2:77" ht="16.5" customHeight="1" thickBot="1"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R1" s="17"/>
      <c r="BU1" s="17"/>
      <c r="BV1" s="17"/>
      <c r="BW1" s="17"/>
      <c r="BX1" s="17"/>
      <c r="BY1" s="17"/>
    </row>
    <row r="2" spans="2:77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6"/>
      <c r="BR2" s="17"/>
      <c r="BU2" s="17"/>
      <c r="BV2" s="17"/>
      <c r="BW2" s="17"/>
      <c r="BX2" s="17"/>
      <c r="BY2" s="17"/>
    </row>
    <row r="3" spans="2:77" ht="12" customHeight="1">
      <c r="B3" s="4"/>
      <c r="C3" s="114" t="s">
        <v>2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7"/>
      <c r="BR3" s="17"/>
      <c r="BU3" s="17"/>
      <c r="BV3" s="17"/>
      <c r="BW3" s="17"/>
      <c r="BX3" s="17"/>
      <c r="BY3" s="17"/>
    </row>
    <row r="4" spans="2:77" ht="12" customHeight="1">
      <c r="B4" s="4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7"/>
      <c r="BR4" s="17"/>
      <c r="BU4" s="17"/>
      <c r="BV4" s="17"/>
      <c r="BW4" s="17"/>
      <c r="BX4" s="17"/>
      <c r="BY4" s="17"/>
    </row>
    <row r="5" spans="2:77" ht="12" customHeight="1">
      <c r="B5" s="4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7"/>
      <c r="BR5" s="17"/>
      <c r="BU5" s="17"/>
      <c r="BV5" s="17"/>
      <c r="BW5" s="17"/>
      <c r="BX5" s="17"/>
      <c r="BY5" s="17"/>
    </row>
    <row r="6" spans="2:77" ht="12" customHeight="1">
      <c r="B6" s="4"/>
      <c r="C6" s="94" t="s">
        <v>124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>
        <v>27</v>
      </c>
      <c r="X6" s="95"/>
      <c r="Y6" s="95"/>
      <c r="Z6" s="95"/>
      <c r="AA6" s="95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2"/>
      <c r="AQ6" s="12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7"/>
      <c r="BP6" s="41"/>
      <c r="BQ6" s="50"/>
      <c r="BR6" s="17"/>
      <c r="BU6" s="17"/>
      <c r="BV6" s="17"/>
      <c r="BW6" s="17"/>
      <c r="BX6" s="17"/>
      <c r="BY6" s="17"/>
    </row>
    <row r="7" spans="2:77" ht="12" customHeight="1">
      <c r="B7" s="4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7"/>
      <c r="BP7" s="41"/>
      <c r="BQ7" s="50"/>
      <c r="BR7" s="17"/>
      <c r="BU7" s="17"/>
      <c r="BV7" s="17"/>
      <c r="BW7" s="17"/>
      <c r="BX7" s="17"/>
      <c r="BY7" s="17"/>
    </row>
    <row r="8" spans="2:77" ht="12" customHeight="1">
      <c r="B8" s="4"/>
      <c r="C8" s="97" t="s">
        <v>3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  <c r="W8" s="97" t="s">
        <v>4</v>
      </c>
      <c r="X8" s="98"/>
      <c r="Y8" s="98"/>
      <c r="Z8" s="98"/>
      <c r="AA8" s="99"/>
      <c r="AB8" s="97" t="s">
        <v>5</v>
      </c>
      <c r="AC8" s="98"/>
      <c r="AD8" s="98"/>
      <c r="AE8" s="98"/>
      <c r="AF8" s="99"/>
      <c r="AG8" s="97" t="s">
        <v>6</v>
      </c>
      <c r="AH8" s="98"/>
      <c r="AI8" s="98"/>
      <c r="AJ8" s="98"/>
      <c r="AK8" s="99"/>
      <c r="AL8" s="97" t="s">
        <v>7</v>
      </c>
      <c r="AM8" s="98"/>
      <c r="AN8" s="98"/>
      <c r="AO8" s="98"/>
      <c r="AP8" s="99"/>
      <c r="AQ8" s="97" t="s">
        <v>8</v>
      </c>
      <c r="AR8" s="106"/>
      <c r="AS8" s="106"/>
      <c r="AT8" s="106"/>
      <c r="AU8" s="107"/>
      <c r="AV8" s="97" t="s">
        <v>9</v>
      </c>
      <c r="AW8" s="98"/>
      <c r="AX8" s="98"/>
      <c r="AY8" s="98"/>
      <c r="AZ8" s="99"/>
      <c r="BA8" s="97" t="s">
        <v>10</v>
      </c>
      <c r="BB8" s="98"/>
      <c r="BC8" s="98"/>
      <c r="BD8" s="98"/>
      <c r="BE8" s="99"/>
      <c r="BF8" s="7"/>
      <c r="BR8" s="17"/>
      <c r="BU8" s="17"/>
      <c r="BV8" s="17"/>
      <c r="BW8" s="17"/>
      <c r="BX8" s="17"/>
      <c r="BY8" s="17"/>
    </row>
    <row r="9" spans="2:77" ht="12" customHeight="1">
      <c r="B9" s="4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2"/>
      <c r="W9" s="100"/>
      <c r="X9" s="101"/>
      <c r="Y9" s="101"/>
      <c r="Z9" s="101"/>
      <c r="AA9" s="102"/>
      <c r="AB9" s="100"/>
      <c r="AC9" s="101"/>
      <c r="AD9" s="101"/>
      <c r="AE9" s="101"/>
      <c r="AF9" s="102"/>
      <c r="AG9" s="100"/>
      <c r="AH9" s="101"/>
      <c r="AI9" s="101"/>
      <c r="AJ9" s="101"/>
      <c r="AK9" s="102"/>
      <c r="AL9" s="100"/>
      <c r="AM9" s="101"/>
      <c r="AN9" s="101"/>
      <c r="AO9" s="101"/>
      <c r="AP9" s="102"/>
      <c r="AQ9" s="108"/>
      <c r="AR9" s="109"/>
      <c r="AS9" s="109"/>
      <c r="AT9" s="109"/>
      <c r="AU9" s="110"/>
      <c r="AV9" s="100"/>
      <c r="AW9" s="101"/>
      <c r="AX9" s="101"/>
      <c r="AY9" s="101"/>
      <c r="AZ9" s="102"/>
      <c r="BA9" s="100"/>
      <c r="BB9" s="101"/>
      <c r="BC9" s="101"/>
      <c r="BD9" s="101"/>
      <c r="BE9" s="102"/>
      <c r="BF9" s="7"/>
      <c r="BR9" s="17"/>
      <c r="BU9" s="17"/>
      <c r="BV9" s="17"/>
      <c r="BW9" s="17"/>
      <c r="BX9" s="17"/>
      <c r="BY9" s="17"/>
    </row>
    <row r="10" spans="2:77" ht="12" customHeight="1">
      <c r="B10" s="4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2"/>
      <c r="W10" s="100"/>
      <c r="X10" s="101"/>
      <c r="Y10" s="101"/>
      <c r="Z10" s="101"/>
      <c r="AA10" s="102"/>
      <c r="AB10" s="100"/>
      <c r="AC10" s="101"/>
      <c r="AD10" s="101"/>
      <c r="AE10" s="101"/>
      <c r="AF10" s="102"/>
      <c r="AG10" s="100"/>
      <c r="AH10" s="101"/>
      <c r="AI10" s="101"/>
      <c r="AJ10" s="101"/>
      <c r="AK10" s="102"/>
      <c r="AL10" s="100"/>
      <c r="AM10" s="101"/>
      <c r="AN10" s="101"/>
      <c r="AO10" s="101"/>
      <c r="AP10" s="102"/>
      <c r="AQ10" s="108"/>
      <c r="AR10" s="109"/>
      <c r="AS10" s="109"/>
      <c r="AT10" s="109"/>
      <c r="AU10" s="110"/>
      <c r="AV10" s="100"/>
      <c r="AW10" s="101"/>
      <c r="AX10" s="101"/>
      <c r="AY10" s="101"/>
      <c r="AZ10" s="102"/>
      <c r="BA10" s="100"/>
      <c r="BB10" s="101"/>
      <c r="BC10" s="101"/>
      <c r="BD10" s="101"/>
      <c r="BE10" s="102"/>
      <c r="BF10" s="7"/>
      <c r="BR10" s="17"/>
      <c r="BU10" s="17"/>
      <c r="BV10" s="17"/>
      <c r="BW10" s="17"/>
      <c r="BX10" s="17"/>
      <c r="BY10" s="17"/>
    </row>
    <row r="11" spans="2:77" ht="12" customHeight="1">
      <c r="B11" s="4"/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2"/>
      <c r="W11" s="100"/>
      <c r="X11" s="101"/>
      <c r="Y11" s="101"/>
      <c r="Z11" s="101"/>
      <c r="AA11" s="102"/>
      <c r="AB11" s="100"/>
      <c r="AC11" s="101"/>
      <c r="AD11" s="101"/>
      <c r="AE11" s="101"/>
      <c r="AF11" s="102"/>
      <c r="AG11" s="100"/>
      <c r="AH11" s="101"/>
      <c r="AI11" s="101"/>
      <c r="AJ11" s="101"/>
      <c r="AK11" s="102"/>
      <c r="AL11" s="100"/>
      <c r="AM11" s="101"/>
      <c r="AN11" s="101"/>
      <c r="AO11" s="101"/>
      <c r="AP11" s="102"/>
      <c r="AQ11" s="108"/>
      <c r="AR11" s="109"/>
      <c r="AS11" s="109"/>
      <c r="AT11" s="109"/>
      <c r="AU11" s="110"/>
      <c r="AV11" s="100"/>
      <c r="AW11" s="101"/>
      <c r="AX11" s="101"/>
      <c r="AY11" s="101"/>
      <c r="AZ11" s="102"/>
      <c r="BA11" s="100"/>
      <c r="BB11" s="101"/>
      <c r="BC11" s="101"/>
      <c r="BD11" s="101"/>
      <c r="BE11" s="102"/>
      <c r="BF11" s="7"/>
      <c r="BR11" s="17"/>
      <c r="BU11" s="17"/>
      <c r="BV11" s="17"/>
      <c r="BW11" s="17"/>
      <c r="BX11" s="17"/>
      <c r="BY11" s="17"/>
    </row>
    <row r="12" spans="2:77" ht="12" customHeight="1">
      <c r="B12" s="4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2"/>
      <c r="W12" s="100"/>
      <c r="X12" s="101"/>
      <c r="Y12" s="101"/>
      <c r="Z12" s="101"/>
      <c r="AA12" s="102"/>
      <c r="AB12" s="100"/>
      <c r="AC12" s="101"/>
      <c r="AD12" s="101"/>
      <c r="AE12" s="101"/>
      <c r="AF12" s="102"/>
      <c r="AG12" s="100"/>
      <c r="AH12" s="101"/>
      <c r="AI12" s="101"/>
      <c r="AJ12" s="101"/>
      <c r="AK12" s="102"/>
      <c r="AL12" s="100"/>
      <c r="AM12" s="101"/>
      <c r="AN12" s="101"/>
      <c r="AO12" s="101"/>
      <c r="AP12" s="102"/>
      <c r="AQ12" s="108"/>
      <c r="AR12" s="109"/>
      <c r="AS12" s="109"/>
      <c r="AT12" s="109"/>
      <c r="AU12" s="110"/>
      <c r="AV12" s="100"/>
      <c r="AW12" s="101"/>
      <c r="AX12" s="101"/>
      <c r="AY12" s="101"/>
      <c r="AZ12" s="102"/>
      <c r="BA12" s="100"/>
      <c r="BB12" s="101"/>
      <c r="BC12" s="101"/>
      <c r="BD12" s="101"/>
      <c r="BE12" s="102"/>
      <c r="BF12" s="7"/>
      <c r="BR12" s="17"/>
      <c r="BU12" s="17"/>
      <c r="BV12" s="17"/>
      <c r="BW12" s="17"/>
      <c r="BX12" s="17"/>
      <c r="BY12" s="17"/>
    </row>
    <row r="13" spans="2:77" ht="12" customHeight="1">
      <c r="B13" s="4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2"/>
      <c r="W13" s="100"/>
      <c r="X13" s="101"/>
      <c r="Y13" s="101"/>
      <c r="Z13" s="101"/>
      <c r="AA13" s="102"/>
      <c r="AB13" s="100"/>
      <c r="AC13" s="101"/>
      <c r="AD13" s="101"/>
      <c r="AE13" s="101"/>
      <c r="AF13" s="102"/>
      <c r="AG13" s="100"/>
      <c r="AH13" s="101"/>
      <c r="AI13" s="101"/>
      <c r="AJ13" s="101"/>
      <c r="AK13" s="102"/>
      <c r="AL13" s="100"/>
      <c r="AM13" s="101"/>
      <c r="AN13" s="101"/>
      <c r="AO13" s="101"/>
      <c r="AP13" s="102"/>
      <c r="AQ13" s="108"/>
      <c r="AR13" s="109"/>
      <c r="AS13" s="109"/>
      <c r="AT13" s="109"/>
      <c r="AU13" s="110"/>
      <c r="AV13" s="100"/>
      <c r="AW13" s="101"/>
      <c r="AX13" s="101"/>
      <c r="AY13" s="101"/>
      <c r="AZ13" s="102"/>
      <c r="BA13" s="100"/>
      <c r="BB13" s="101"/>
      <c r="BC13" s="101"/>
      <c r="BD13" s="101"/>
      <c r="BE13" s="102"/>
      <c r="BF13" s="7"/>
      <c r="BR13" s="17"/>
      <c r="BU13" s="17"/>
      <c r="BV13" s="17"/>
      <c r="BW13" s="17"/>
      <c r="BX13" s="17"/>
      <c r="BY13" s="17"/>
    </row>
    <row r="14" spans="2:77" ht="12" customHeight="1">
      <c r="B14" s="4"/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2"/>
      <c r="W14" s="100"/>
      <c r="X14" s="101"/>
      <c r="Y14" s="101"/>
      <c r="Z14" s="101"/>
      <c r="AA14" s="102"/>
      <c r="AB14" s="100"/>
      <c r="AC14" s="101"/>
      <c r="AD14" s="101"/>
      <c r="AE14" s="101"/>
      <c r="AF14" s="102"/>
      <c r="AG14" s="100"/>
      <c r="AH14" s="101"/>
      <c r="AI14" s="101"/>
      <c r="AJ14" s="101"/>
      <c r="AK14" s="102"/>
      <c r="AL14" s="100"/>
      <c r="AM14" s="101"/>
      <c r="AN14" s="101"/>
      <c r="AO14" s="101"/>
      <c r="AP14" s="102"/>
      <c r="AQ14" s="108"/>
      <c r="AR14" s="109"/>
      <c r="AS14" s="109"/>
      <c r="AT14" s="109"/>
      <c r="AU14" s="110"/>
      <c r="AV14" s="100"/>
      <c r="AW14" s="101"/>
      <c r="AX14" s="101"/>
      <c r="AY14" s="101"/>
      <c r="AZ14" s="102"/>
      <c r="BA14" s="100"/>
      <c r="BB14" s="101"/>
      <c r="BC14" s="101"/>
      <c r="BD14" s="101"/>
      <c r="BE14" s="102"/>
      <c r="BF14" s="7"/>
      <c r="BR14" s="17"/>
      <c r="BU14" s="17"/>
      <c r="BV14" s="17"/>
      <c r="BW14" s="17"/>
      <c r="BX14" s="17"/>
      <c r="BY14" s="17"/>
    </row>
    <row r="15" spans="2:77" ht="12" customHeight="1">
      <c r="B15" s="4"/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2"/>
      <c r="W15" s="100"/>
      <c r="X15" s="101"/>
      <c r="Y15" s="101"/>
      <c r="Z15" s="101"/>
      <c r="AA15" s="102"/>
      <c r="AB15" s="100"/>
      <c r="AC15" s="101"/>
      <c r="AD15" s="101"/>
      <c r="AE15" s="101"/>
      <c r="AF15" s="102"/>
      <c r="AG15" s="100"/>
      <c r="AH15" s="101"/>
      <c r="AI15" s="101"/>
      <c r="AJ15" s="101"/>
      <c r="AK15" s="102"/>
      <c r="AL15" s="100"/>
      <c r="AM15" s="101"/>
      <c r="AN15" s="101"/>
      <c r="AO15" s="101"/>
      <c r="AP15" s="102"/>
      <c r="AQ15" s="108"/>
      <c r="AR15" s="109"/>
      <c r="AS15" s="109"/>
      <c r="AT15" s="109"/>
      <c r="AU15" s="110"/>
      <c r="AV15" s="100"/>
      <c r="AW15" s="101"/>
      <c r="AX15" s="101"/>
      <c r="AY15" s="101"/>
      <c r="AZ15" s="102"/>
      <c r="BA15" s="100"/>
      <c r="BB15" s="101"/>
      <c r="BC15" s="101"/>
      <c r="BD15" s="101"/>
      <c r="BE15" s="102"/>
      <c r="BF15" s="7"/>
      <c r="BR15" s="17"/>
      <c r="BU15" s="17"/>
      <c r="BV15" s="17"/>
      <c r="BW15" s="17"/>
      <c r="BX15" s="17"/>
      <c r="BY15" s="17"/>
    </row>
    <row r="16" spans="2:58" ht="12" customHeight="1">
      <c r="B16" s="4"/>
      <c r="C16" s="100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2"/>
      <c r="W16" s="100"/>
      <c r="X16" s="101"/>
      <c r="Y16" s="101"/>
      <c r="Z16" s="101"/>
      <c r="AA16" s="102"/>
      <c r="AB16" s="100"/>
      <c r="AC16" s="101"/>
      <c r="AD16" s="101"/>
      <c r="AE16" s="101"/>
      <c r="AF16" s="102"/>
      <c r="AG16" s="100"/>
      <c r="AH16" s="101"/>
      <c r="AI16" s="101"/>
      <c r="AJ16" s="101"/>
      <c r="AK16" s="102"/>
      <c r="AL16" s="100"/>
      <c r="AM16" s="101"/>
      <c r="AN16" s="101"/>
      <c r="AO16" s="101"/>
      <c r="AP16" s="102"/>
      <c r="AQ16" s="108"/>
      <c r="AR16" s="109"/>
      <c r="AS16" s="109"/>
      <c r="AT16" s="109"/>
      <c r="AU16" s="110"/>
      <c r="AV16" s="100"/>
      <c r="AW16" s="101"/>
      <c r="AX16" s="101"/>
      <c r="AY16" s="101"/>
      <c r="AZ16" s="102"/>
      <c r="BA16" s="100"/>
      <c r="BB16" s="101"/>
      <c r="BC16" s="101"/>
      <c r="BD16" s="101"/>
      <c r="BE16" s="102"/>
      <c r="BF16" s="7"/>
    </row>
    <row r="17" spans="2:58" ht="12" customHeight="1">
      <c r="B17" s="4"/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0"/>
      <c r="X17" s="101"/>
      <c r="Y17" s="101"/>
      <c r="Z17" s="101"/>
      <c r="AA17" s="102"/>
      <c r="AB17" s="100"/>
      <c r="AC17" s="101"/>
      <c r="AD17" s="101"/>
      <c r="AE17" s="101"/>
      <c r="AF17" s="102"/>
      <c r="AG17" s="100"/>
      <c r="AH17" s="101"/>
      <c r="AI17" s="101"/>
      <c r="AJ17" s="101"/>
      <c r="AK17" s="102"/>
      <c r="AL17" s="100"/>
      <c r="AM17" s="101"/>
      <c r="AN17" s="101"/>
      <c r="AO17" s="101"/>
      <c r="AP17" s="102"/>
      <c r="AQ17" s="108"/>
      <c r="AR17" s="109"/>
      <c r="AS17" s="109"/>
      <c r="AT17" s="109"/>
      <c r="AU17" s="110"/>
      <c r="AV17" s="100"/>
      <c r="AW17" s="101"/>
      <c r="AX17" s="101"/>
      <c r="AY17" s="101"/>
      <c r="AZ17" s="102"/>
      <c r="BA17" s="100"/>
      <c r="BB17" s="101"/>
      <c r="BC17" s="101"/>
      <c r="BD17" s="101"/>
      <c r="BE17" s="102"/>
      <c r="BF17" s="7"/>
    </row>
    <row r="18" spans="2:58" ht="12" customHeight="1">
      <c r="B18" s="4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5"/>
      <c r="W18" s="103"/>
      <c r="X18" s="104"/>
      <c r="Y18" s="104"/>
      <c r="Z18" s="104"/>
      <c r="AA18" s="105"/>
      <c r="AB18" s="103"/>
      <c r="AC18" s="104"/>
      <c r="AD18" s="104"/>
      <c r="AE18" s="104"/>
      <c r="AF18" s="105"/>
      <c r="AG18" s="103"/>
      <c r="AH18" s="104"/>
      <c r="AI18" s="104"/>
      <c r="AJ18" s="104"/>
      <c r="AK18" s="105"/>
      <c r="AL18" s="103"/>
      <c r="AM18" s="104"/>
      <c r="AN18" s="104"/>
      <c r="AO18" s="104"/>
      <c r="AP18" s="105"/>
      <c r="AQ18" s="111"/>
      <c r="AR18" s="112"/>
      <c r="AS18" s="112"/>
      <c r="AT18" s="112"/>
      <c r="AU18" s="113"/>
      <c r="AV18" s="103"/>
      <c r="AW18" s="104"/>
      <c r="AX18" s="104"/>
      <c r="AY18" s="104"/>
      <c r="AZ18" s="105"/>
      <c r="BA18" s="103"/>
      <c r="BB18" s="104"/>
      <c r="BC18" s="104"/>
      <c r="BD18" s="104"/>
      <c r="BE18" s="105"/>
      <c r="BF18" s="7"/>
    </row>
    <row r="19" spans="2:58" ht="12" customHeight="1">
      <c r="B19" s="4"/>
      <c r="C19" s="76">
        <v>1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8"/>
      <c r="W19" s="76">
        <v>2</v>
      </c>
      <c r="X19" s="77"/>
      <c r="Y19" s="77"/>
      <c r="Z19" s="77"/>
      <c r="AA19" s="78"/>
      <c r="AB19" s="76">
        <v>3</v>
      </c>
      <c r="AC19" s="77"/>
      <c r="AD19" s="77"/>
      <c r="AE19" s="77"/>
      <c r="AF19" s="78"/>
      <c r="AG19" s="76">
        <v>4</v>
      </c>
      <c r="AH19" s="77"/>
      <c r="AI19" s="77"/>
      <c r="AJ19" s="77"/>
      <c r="AK19" s="78"/>
      <c r="AL19" s="76">
        <v>5</v>
      </c>
      <c r="AM19" s="77"/>
      <c r="AN19" s="77"/>
      <c r="AO19" s="77"/>
      <c r="AP19" s="78"/>
      <c r="AQ19" s="76">
        <v>6</v>
      </c>
      <c r="AR19" s="77"/>
      <c r="AS19" s="77"/>
      <c r="AT19" s="77"/>
      <c r="AU19" s="78"/>
      <c r="AV19" s="76">
        <v>7</v>
      </c>
      <c r="AW19" s="77"/>
      <c r="AX19" s="77"/>
      <c r="AY19" s="77"/>
      <c r="AZ19" s="78"/>
      <c r="BA19" s="76">
        <v>8</v>
      </c>
      <c r="BB19" s="77"/>
      <c r="BC19" s="77"/>
      <c r="BD19" s="77"/>
      <c r="BE19" s="78"/>
      <c r="BF19" s="7"/>
    </row>
    <row r="20" spans="2:70" ht="70.5" customHeight="1">
      <c r="B20" s="4"/>
      <c r="C20" s="85" t="s">
        <v>70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7"/>
      <c r="W20" s="88"/>
      <c r="X20" s="88"/>
      <c r="Y20" s="88"/>
      <c r="Z20" s="88"/>
      <c r="AA20" s="88"/>
      <c r="AB20" s="89" t="s">
        <v>1</v>
      </c>
      <c r="AC20" s="89"/>
      <c r="AD20" s="89"/>
      <c r="AE20" s="89"/>
      <c r="AF20" s="89"/>
      <c r="AG20" s="115" t="s">
        <v>13</v>
      </c>
      <c r="AH20" s="116"/>
      <c r="AI20" s="116"/>
      <c r="AJ20" s="116"/>
      <c r="AK20" s="117"/>
      <c r="AL20" s="118" t="s">
        <v>1</v>
      </c>
      <c r="AM20" s="118"/>
      <c r="AN20" s="118"/>
      <c r="AO20" s="118"/>
      <c r="AP20" s="118"/>
      <c r="AQ20" s="71">
        <f>Лист1!D5</f>
        <v>0</v>
      </c>
      <c r="AR20" s="71"/>
      <c r="AS20" s="71"/>
      <c r="AT20" s="71"/>
      <c r="AU20" s="71"/>
      <c r="AV20" s="72">
        <f>IF(OR(AQ20="",AG20="надзорные жалобы"),0,AQ20/2)</f>
        <v>0</v>
      </c>
      <c r="AW20" s="72"/>
      <c r="AX20" s="72"/>
      <c r="AY20" s="72"/>
      <c r="AZ20" s="72"/>
      <c r="BA20" s="72">
        <f>IF(AQ20="",0,AQ20/4)</f>
        <v>0</v>
      </c>
      <c r="BB20" s="72"/>
      <c r="BC20" s="72"/>
      <c r="BD20" s="72"/>
      <c r="BE20" s="72"/>
      <c r="BF20" s="7"/>
      <c r="BH20" s="51">
        <f>C88*100</f>
        <v>2700</v>
      </c>
      <c r="BI20" s="51">
        <f>C88*25</f>
        <v>675</v>
      </c>
      <c r="BJ20" s="51">
        <f>C88*1000</f>
        <v>27000</v>
      </c>
      <c r="BK20" s="52">
        <f>C88*10000</f>
        <v>270000</v>
      </c>
      <c r="BL20" s="52">
        <f>IF(($W$20*5/100)&lt;BI20,BI20,$W$20*5/100)</f>
        <v>675</v>
      </c>
      <c r="BM20" s="52">
        <f>BJ20*5/100+($W$20-BJ20)*3/100</f>
        <v>540</v>
      </c>
      <c r="BN20" s="52">
        <f>BJ20*5/100+(BK20-BJ20)*3/100</f>
        <v>8640</v>
      </c>
      <c r="BO20" s="52">
        <f>IF($W$20&gt;$BK$20,IF(($W$20*1/100)&lt;$BN$20,$BN$20,$W$20*1/100),BM20)</f>
        <v>540</v>
      </c>
      <c r="BP20" s="42"/>
      <c r="BQ20" s="53"/>
      <c r="BR20" s="54"/>
    </row>
    <row r="21" spans="2:58" ht="12" customHeight="1">
      <c r="B21" s="4"/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79"/>
      <c r="X21" s="80"/>
      <c r="Y21" s="80"/>
      <c r="Z21" s="80"/>
      <c r="AA21" s="81"/>
      <c r="AB21" s="76"/>
      <c r="AC21" s="77"/>
      <c r="AD21" s="77"/>
      <c r="AE21" s="77"/>
      <c r="AF21" s="78"/>
      <c r="AG21" s="76"/>
      <c r="AH21" s="77"/>
      <c r="AI21" s="77"/>
      <c r="AJ21" s="77"/>
      <c r="AK21" s="78"/>
      <c r="AL21" s="76"/>
      <c r="AM21" s="77"/>
      <c r="AN21" s="77"/>
      <c r="AO21" s="77"/>
      <c r="AP21" s="78"/>
      <c r="AQ21" s="82"/>
      <c r="AR21" s="83"/>
      <c r="AS21" s="83"/>
      <c r="AT21" s="83"/>
      <c r="AU21" s="84"/>
      <c r="AV21" s="79"/>
      <c r="AW21" s="80"/>
      <c r="AX21" s="80"/>
      <c r="AY21" s="80"/>
      <c r="AZ21" s="81"/>
      <c r="BA21" s="79"/>
      <c r="BB21" s="80"/>
      <c r="BC21" s="80"/>
      <c r="BD21" s="80"/>
      <c r="BE21" s="81"/>
      <c r="BF21" s="7"/>
    </row>
    <row r="22" spans="2:63" ht="66" customHeight="1">
      <c r="B22" s="4"/>
      <c r="C22" s="85" t="s">
        <v>72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7"/>
      <c r="W22" s="88"/>
      <c r="X22" s="88"/>
      <c r="Y22" s="88"/>
      <c r="Z22" s="88"/>
      <c r="AA22" s="88"/>
      <c r="AB22" s="90" t="s">
        <v>15</v>
      </c>
      <c r="AC22" s="91"/>
      <c r="AD22" s="91"/>
      <c r="AE22" s="91"/>
      <c r="AF22" s="92"/>
      <c r="AG22" s="90" t="s">
        <v>11</v>
      </c>
      <c r="AH22" s="91"/>
      <c r="AI22" s="91"/>
      <c r="AJ22" s="91"/>
      <c r="AK22" s="92"/>
      <c r="AL22" s="90" t="s">
        <v>46</v>
      </c>
      <c r="AM22" s="91"/>
      <c r="AN22" s="91"/>
      <c r="AO22" s="91"/>
      <c r="AP22" s="92"/>
      <c r="AQ22" s="71">
        <f>Лист1!$C$16</f>
        <v>0</v>
      </c>
      <c r="AR22" s="71"/>
      <c r="AS22" s="71"/>
      <c r="AT22" s="71"/>
      <c r="AU22" s="71"/>
      <c r="AV22" s="72">
        <f>IF(OR(AG22="жалобы о пересмотре",AG22="жалобы на ответы на обращения"),0,AQ22/2)</f>
        <v>0</v>
      </c>
      <c r="AW22" s="72"/>
      <c r="AX22" s="72"/>
      <c r="AY22" s="72"/>
      <c r="AZ22" s="72"/>
      <c r="BA22" s="72">
        <f>IF(OR(AG22="жалобы о пересмотре",AG22="жалобы на ответы на обращения"),0,AQ22/4)</f>
        <v>0</v>
      </c>
      <c r="BB22" s="72"/>
      <c r="BC22" s="72"/>
      <c r="BD22" s="72"/>
      <c r="BE22" s="72"/>
      <c r="BF22" s="7"/>
      <c r="BH22" s="55">
        <f>C88*20</f>
        <v>540</v>
      </c>
      <c r="BI22" s="55">
        <f>C88*10</f>
        <v>270</v>
      </c>
      <c r="BJ22" s="55">
        <f>C88*5</f>
        <v>135</v>
      </c>
      <c r="BK22" s="43"/>
    </row>
    <row r="23" spans="2:58" ht="12" customHeight="1">
      <c r="B23" s="4"/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79"/>
      <c r="X23" s="80"/>
      <c r="Y23" s="80"/>
      <c r="Z23" s="80"/>
      <c r="AA23" s="81"/>
      <c r="AB23" s="76"/>
      <c r="AC23" s="77"/>
      <c r="AD23" s="77"/>
      <c r="AE23" s="77"/>
      <c r="AF23" s="78"/>
      <c r="AG23" s="76"/>
      <c r="AH23" s="77"/>
      <c r="AI23" s="77"/>
      <c r="AJ23" s="77"/>
      <c r="AK23" s="78"/>
      <c r="AL23" s="76"/>
      <c r="AM23" s="77"/>
      <c r="AN23" s="77"/>
      <c r="AO23" s="77"/>
      <c r="AP23" s="78"/>
      <c r="AQ23" s="82"/>
      <c r="AR23" s="83"/>
      <c r="AS23" s="83"/>
      <c r="AT23" s="83"/>
      <c r="AU23" s="84"/>
      <c r="AV23" s="79"/>
      <c r="AW23" s="80"/>
      <c r="AX23" s="80"/>
      <c r="AY23" s="80"/>
      <c r="AZ23" s="81"/>
      <c r="BA23" s="79"/>
      <c r="BB23" s="80"/>
      <c r="BC23" s="80"/>
      <c r="BD23" s="80"/>
      <c r="BE23" s="81"/>
      <c r="BF23" s="7"/>
    </row>
    <row r="24" spans="2:58" ht="40.5" customHeight="1">
      <c r="B24" s="4"/>
      <c r="C24" s="85" t="s">
        <v>71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7"/>
      <c r="W24" s="88"/>
      <c r="X24" s="88"/>
      <c r="Y24" s="88"/>
      <c r="Z24" s="88"/>
      <c r="AA24" s="88"/>
      <c r="AB24" s="89" t="s">
        <v>1</v>
      </c>
      <c r="AC24" s="89"/>
      <c r="AD24" s="89"/>
      <c r="AE24" s="89"/>
      <c r="AF24" s="89"/>
      <c r="AG24" s="90" t="s">
        <v>11</v>
      </c>
      <c r="AH24" s="91"/>
      <c r="AI24" s="91"/>
      <c r="AJ24" s="91"/>
      <c r="AK24" s="92"/>
      <c r="AL24" s="90" t="s">
        <v>46</v>
      </c>
      <c r="AM24" s="91"/>
      <c r="AN24" s="91"/>
      <c r="AO24" s="91"/>
      <c r="AP24" s="92"/>
      <c r="AQ24" s="71">
        <f>Лист1!$L$25</f>
        <v>0</v>
      </c>
      <c r="AR24" s="71"/>
      <c r="AS24" s="71"/>
      <c r="AT24" s="71"/>
      <c r="AU24" s="71"/>
      <c r="AV24" s="72">
        <f>IF(AQ24="",0,AQ24/2)</f>
        <v>0</v>
      </c>
      <c r="AW24" s="72"/>
      <c r="AX24" s="72"/>
      <c r="AY24" s="72"/>
      <c r="AZ24" s="72"/>
      <c r="BA24" s="72">
        <f>IF(AQ24="",0,AQ24/4)</f>
        <v>0</v>
      </c>
      <c r="BB24" s="72"/>
      <c r="BC24" s="72"/>
      <c r="BD24" s="72"/>
      <c r="BE24" s="72"/>
      <c r="BF24" s="7"/>
    </row>
    <row r="25" spans="2:58" ht="14.25" customHeight="1">
      <c r="B25" s="4"/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  <c r="W25" s="79"/>
      <c r="X25" s="80"/>
      <c r="Y25" s="80"/>
      <c r="Z25" s="80"/>
      <c r="AA25" s="81"/>
      <c r="AB25" s="76"/>
      <c r="AC25" s="77"/>
      <c r="AD25" s="77"/>
      <c r="AE25" s="77"/>
      <c r="AF25" s="78"/>
      <c r="AG25" s="76"/>
      <c r="AH25" s="77"/>
      <c r="AI25" s="77"/>
      <c r="AJ25" s="77"/>
      <c r="AK25" s="78"/>
      <c r="AL25" s="76"/>
      <c r="AM25" s="77"/>
      <c r="AN25" s="77"/>
      <c r="AO25" s="77"/>
      <c r="AP25" s="78"/>
      <c r="AQ25" s="82"/>
      <c r="AR25" s="83"/>
      <c r="AS25" s="83"/>
      <c r="AT25" s="83"/>
      <c r="AU25" s="84"/>
      <c r="AV25" s="79"/>
      <c r="AW25" s="80"/>
      <c r="AX25" s="80"/>
      <c r="AY25" s="80"/>
      <c r="AZ25" s="81"/>
      <c r="BA25" s="79"/>
      <c r="BB25" s="80"/>
      <c r="BC25" s="80"/>
      <c r="BD25" s="80"/>
      <c r="BE25" s="81"/>
      <c r="BF25" s="7"/>
    </row>
    <row r="26" spans="2:58" ht="37.5" customHeight="1">
      <c r="B26" s="4"/>
      <c r="C26" s="85" t="s">
        <v>73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7"/>
      <c r="W26" s="88"/>
      <c r="X26" s="88"/>
      <c r="Y26" s="88"/>
      <c r="Z26" s="88"/>
      <c r="AA26" s="88"/>
      <c r="AB26" s="89" t="s">
        <v>1</v>
      </c>
      <c r="AC26" s="89"/>
      <c r="AD26" s="89"/>
      <c r="AE26" s="89"/>
      <c r="AF26" s="89"/>
      <c r="AG26" s="90" t="s">
        <v>13</v>
      </c>
      <c r="AH26" s="91"/>
      <c r="AI26" s="91"/>
      <c r="AJ26" s="91"/>
      <c r="AK26" s="92"/>
      <c r="AL26" s="68" t="s">
        <v>1</v>
      </c>
      <c r="AM26" s="69"/>
      <c r="AN26" s="69"/>
      <c r="AO26" s="69"/>
      <c r="AP26" s="70"/>
      <c r="AQ26" s="71">
        <f>Лист1!F11</f>
        <v>0</v>
      </c>
      <c r="AR26" s="71"/>
      <c r="AS26" s="71"/>
      <c r="AT26" s="71"/>
      <c r="AU26" s="71"/>
      <c r="AV26" s="72">
        <f>IF(OR(AQ26="",AG26="надзорные жалобы"),0,AQ26/2)</f>
        <v>0</v>
      </c>
      <c r="AW26" s="72"/>
      <c r="AX26" s="72"/>
      <c r="AY26" s="72"/>
      <c r="AZ26" s="72"/>
      <c r="BA26" s="72">
        <f>IF(AQ26="",0,AQ26/4)</f>
        <v>0</v>
      </c>
      <c r="BB26" s="72"/>
      <c r="BC26" s="72"/>
      <c r="BD26" s="72"/>
      <c r="BE26" s="72"/>
      <c r="BF26" s="7"/>
    </row>
    <row r="27" spans="2:58" ht="12.75" customHeight="1">
      <c r="B27" s="4"/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9"/>
      <c r="X27" s="80"/>
      <c r="Y27" s="80"/>
      <c r="Z27" s="80"/>
      <c r="AA27" s="81"/>
      <c r="AB27" s="76"/>
      <c r="AC27" s="77"/>
      <c r="AD27" s="77"/>
      <c r="AE27" s="77"/>
      <c r="AF27" s="78"/>
      <c r="AG27" s="76"/>
      <c r="AH27" s="77"/>
      <c r="AI27" s="77"/>
      <c r="AJ27" s="77"/>
      <c r="AK27" s="78"/>
      <c r="AL27" s="76"/>
      <c r="AM27" s="77"/>
      <c r="AN27" s="77"/>
      <c r="AO27" s="77"/>
      <c r="AP27" s="78"/>
      <c r="AQ27" s="82"/>
      <c r="AR27" s="83"/>
      <c r="AS27" s="83"/>
      <c r="AT27" s="83"/>
      <c r="AU27" s="84"/>
      <c r="AV27" s="73"/>
      <c r="AW27" s="74"/>
      <c r="AX27" s="74"/>
      <c r="AY27" s="74"/>
      <c r="AZ27" s="75"/>
      <c r="BA27" s="73"/>
      <c r="BB27" s="74"/>
      <c r="BC27" s="74"/>
      <c r="BD27" s="74"/>
      <c r="BE27" s="75"/>
      <c r="BF27" s="7"/>
    </row>
    <row r="28" spans="2:58" ht="37.5" customHeight="1">
      <c r="B28" s="4"/>
      <c r="C28" s="85" t="s">
        <v>74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7"/>
      <c r="W28" s="88"/>
      <c r="X28" s="88"/>
      <c r="Y28" s="88"/>
      <c r="Z28" s="88"/>
      <c r="AA28" s="88"/>
      <c r="AB28" s="89" t="s">
        <v>1</v>
      </c>
      <c r="AC28" s="89"/>
      <c r="AD28" s="89"/>
      <c r="AE28" s="89"/>
      <c r="AF28" s="89"/>
      <c r="AG28" s="90" t="s">
        <v>75</v>
      </c>
      <c r="AH28" s="91"/>
      <c r="AI28" s="91"/>
      <c r="AJ28" s="91"/>
      <c r="AK28" s="92"/>
      <c r="AL28" s="68" t="s">
        <v>1</v>
      </c>
      <c r="AM28" s="69"/>
      <c r="AN28" s="69"/>
      <c r="AO28" s="69"/>
      <c r="AP28" s="70"/>
      <c r="AQ28" s="71">
        <f>Лист1!$E$9</f>
        <v>0</v>
      </c>
      <c r="AR28" s="71"/>
      <c r="AS28" s="71"/>
      <c r="AT28" s="71"/>
      <c r="AU28" s="71"/>
      <c r="AV28" s="72">
        <f>IF(OR(AQ28="",AG28="надзорные жалобы"),0,AQ28/2)</f>
        <v>0</v>
      </c>
      <c r="AW28" s="72"/>
      <c r="AX28" s="72"/>
      <c r="AY28" s="72"/>
      <c r="AZ28" s="72"/>
      <c r="BA28" s="72">
        <f>IF(AQ28="",0,AQ28/4)</f>
        <v>0</v>
      </c>
      <c r="BB28" s="72"/>
      <c r="BC28" s="72"/>
      <c r="BD28" s="72"/>
      <c r="BE28" s="72"/>
      <c r="BF28" s="7"/>
    </row>
    <row r="29" spans="2:58" ht="12" customHeight="1" thickBot="1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10"/>
    </row>
    <row r="30" spans="39:87" s="31" customFormat="1" ht="12" customHeight="1">
      <c r="AM30" s="32"/>
      <c r="AN30" s="32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39"/>
      <c r="BR30" s="39"/>
      <c r="BS30" s="17"/>
      <c r="BT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</row>
    <row r="31" spans="1:40" s="57" customFormat="1" ht="12" customHeight="1" hidden="1">
      <c r="A31" s="56"/>
      <c r="C31" s="56" t="s">
        <v>49</v>
      </c>
      <c r="K31" s="56">
        <v>1</v>
      </c>
      <c r="L31" s="56">
        <f>IF(AB22="",0,VLOOKUP(AB22,C31:K33,2,0))</f>
        <v>0</v>
      </c>
      <c r="AM31" s="58"/>
      <c r="AN31" s="58"/>
    </row>
    <row r="32" spans="1:12" s="57" customFormat="1" ht="12" customHeight="1" hidden="1">
      <c r="A32" s="56"/>
      <c r="C32" s="56" t="s">
        <v>15</v>
      </c>
      <c r="K32" s="56">
        <v>2</v>
      </c>
      <c r="L32" s="56"/>
    </row>
    <row r="33" spans="1:12" s="57" customFormat="1" ht="12" customHeight="1" hidden="1">
      <c r="A33" s="56"/>
      <c r="C33" s="56" t="s">
        <v>50</v>
      </c>
      <c r="K33" s="56">
        <v>3</v>
      </c>
      <c r="L33" s="56"/>
    </row>
    <row r="34" spans="1:12" s="57" customFormat="1" ht="12" customHeight="1" hidden="1">
      <c r="A34" s="56"/>
      <c r="C34" s="56" t="s">
        <v>46</v>
      </c>
      <c r="K34" s="56"/>
      <c r="L34" s="56"/>
    </row>
    <row r="35" spans="1:12" s="57" customFormat="1" ht="12" customHeight="1" hidden="1">
      <c r="A35" s="56"/>
      <c r="C35" s="56" t="s">
        <v>47</v>
      </c>
      <c r="K35" s="56"/>
      <c r="L35" s="56"/>
    </row>
    <row r="36" spans="1:12" s="57" customFormat="1" ht="12" customHeight="1" hidden="1">
      <c r="A36" s="56"/>
      <c r="C36" s="59" t="s">
        <v>11</v>
      </c>
      <c r="K36" s="60">
        <f>IF($W$20=0,0,IF($W$20&lt;$BH$20,$BI$20,IF(AND($W$20&gt;=$BH$20,$W$20&lt;$BJ$20),$BL$20,IF(AND($W$20&gt;=$BJ$20,$W$20&lt;$BK$20),$BM$20,$BO$20))))</f>
        <v>0</v>
      </c>
      <c r="L36" s="60">
        <f>K36*80/100</f>
        <v>0</v>
      </c>
    </row>
    <row r="37" spans="1:12" s="57" customFormat="1" ht="12" customHeight="1" hidden="1">
      <c r="A37" s="56"/>
      <c r="C37" s="56" t="s">
        <v>12</v>
      </c>
      <c r="K37" s="60">
        <f>$K$36*40%</f>
        <v>0</v>
      </c>
      <c r="L37" s="60">
        <f>K37*80/100</f>
        <v>0</v>
      </c>
    </row>
    <row r="38" spans="1:12" s="57" customFormat="1" ht="12" customHeight="1" hidden="1">
      <c r="A38" s="56"/>
      <c r="C38" s="56" t="s">
        <v>13</v>
      </c>
      <c r="K38" s="60">
        <f>$K$36*80%</f>
        <v>0</v>
      </c>
      <c r="L38" s="60">
        <f>K38*80/100</f>
        <v>0</v>
      </c>
    </row>
    <row r="39" spans="1:12" s="57" customFormat="1" ht="12" customHeight="1" hidden="1">
      <c r="A39" s="56"/>
      <c r="C39" s="56" t="s">
        <v>75</v>
      </c>
      <c r="K39" s="60">
        <f>$K$36*80%</f>
        <v>0</v>
      </c>
      <c r="L39" s="60">
        <f>K39*80/100</f>
        <v>0</v>
      </c>
    </row>
    <row r="40" spans="1:12" s="57" customFormat="1" ht="12" customHeight="1" hidden="1">
      <c r="A40" s="56"/>
      <c r="C40" s="56"/>
      <c r="K40" s="60"/>
      <c r="L40" s="60"/>
    </row>
    <row r="41" spans="1:12" s="57" customFormat="1" ht="12" customHeight="1" hidden="1">
      <c r="A41" s="56"/>
      <c r="C41" s="59" t="s">
        <v>11</v>
      </c>
      <c r="K41" s="60">
        <f>IF(AND($L$31=2,$AL$22="Судебная коллегия по экономическим делам Верховного Суда"),50*$C$88,IF(AND($L$31=2,$AL$22="экономические суды"),20*$C$88,IF($L$31=3,10*$C$88,5*$C$88)))</f>
        <v>135</v>
      </c>
      <c r="L41" s="60"/>
    </row>
    <row r="42" spans="1:12" s="57" customFormat="1" ht="12" customHeight="1" hidden="1">
      <c r="A42" s="56"/>
      <c r="C42" s="56" t="s">
        <v>12</v>
      </c>
      <c r="K42" s="60">
        <f>$K$41*40%</f>
        <v>54</v>
      </c>
      <c r="L42" s="60"/>
    </row>
    <row r="43" spans="1:12" s="57" customFormat="1" ht="12" customHeight="1" hidden="1">
      <c r="A43" s="56"/>
      <c r="C43" s="56" t="s">
        <v>13</v>
      </c>
      <c r="K43" s="60">
        <f>$K$41*80%</f>
        <v>108</v>
      </c>
      <c r="L43" s="60"/>
    </row>
    <row r="44" spans="1:12" s="57" customFormat="1" ht="12" customHeight="1" hidden="1">
      <c r="A44" s="56"/>
      <c r="C44" s="56" t="s">
        <v>75</v>
      </c>
      <c r="K44" s="60">
        <f>IF($AG$22="надзорные жалобы",$K$41*80%,0)</f>
        <v>0</v>
      </c>
      <c r="L44" s="60"/>
    </row>
    <row r="45" spans="1:12" s="57" customFormat="1" ht="12" customHeight="1" hidden="1">
      <c r="A45" s="56"/>
      <c r="C45" s="56"/>
      <c r="K45" s="60">
        <f>IF($AB$22="жалобы на ответы на обращения",$K$41*80%,0)</f>
        <v>0</v>
      </c>
      <c r="L45" s="60"/>
    </row>
    <row r="46" spans="1:12" s="57" customFormat="1" ht="12" customHeight="1" hidden="1">
      <c r="A46" s="56"/>
      <c r="C46" s="59" t="s">
        <v>11</v>
      </c>
      <c r="K46" s="60">
        <f>IF($AL$24="Судебная коллегия по экономическим делам Верховного Суда",50*$C$88,20*$C$88)</f>
        <v>1350</v>
      </c>
      <c r="L46" s="60"/>
    </row>
    <row r="47" spans="1:12" s="57" customFormat="1" ht="12" customHeight="1" hidden="1">
      <c r="A47" s="56"/>
      <c r="C47" s="56" t="s">
        <v>12</v>
      </c>
      <c r="K47" s="60">
        <f>$K$46*40%</f>
        <v>540</v>
      </c>
      <c r="L47" s="60"/>
    </row>
    <row r="48" spans="1:12" s="57" customFormat="1" ht="12" customHeight="1" hidden="1">
      <c r="A48" s="56"/>
      <c r="C48" s="56" t="s">
        <v>13</v>
      </c>
      <c r="K48" s="60">
        <f>$K$46*80%</f>
        <v>1080</v>
      </c>
      <c r="L48" s="60"/>
    </row>
    <row r="49" spans="1:12" s="57" customFormat="1" ht="12" customHeight="1" hidden="1">
      <c r="A49" s="56"/>
      <c r="C49" s="56" t="s">
        <v>75</v>
      </c>
      <c r="K49" s="60">
        <f>$K$46*80%</f>
        <v>1080</v>
      </c>
      <c r="L49" s="60"/>
    </row>
    <row r="50" spans="1:12" s="57" customFormat="1" ht="12" customHeight="1" hidden="1">
      <c r="A50" s="56"/>
      <c r="C50" s="56"/>
      <c r="K50" s="56"/>
      <c r="L50" s="60"/>
    </row>
    <row r="51" spans="1:12" s="57" customFormat="1" ht="12" customHeight="1" hidden="1">
      <c r="A51" s="56"/>
      <c r="C51" s="59" t="s">
        <v>11</v>
      </c>
      <c r="K51" s="56"/>
      <c r="L51" s="56"/>
    </row>
    <row r="52" spans="1:12" s="57" customFormat="1" ht="12" customHeight="1" hidden="1">
      <c r="A52" s="56"/>
      <c r="C52" s="56" t="s">
        <v>12</v>
      </c>
      <c r="K52" s="61"/>
      <c r="L52" s="61"/>
    </row>
    <row r="53" spans="1:12" s="57" customFormat="1" ht="12" customHeight="1" hidden="1">
      <c r="A53" s="56"/>
      <c r="C53" s="56" t="s">
        <v>13</v>
      </c>
      <c r="K53" s="61"/>
      <c r="L53" s="61"/>
    </row>
    <row r="54" spans="1:12" s="57" customFormat="1" ht="12" customHeight="1" hidden="1">
      <c r="A54" s="56"/>
      <c r="C54" s="56" t="s">
        <v>75</v>
      </c>
      <c r="K54" s="61"/>
      <c r="L54" s="61"/>
    </row>
    <row r="55" spans="1:12" s="57" customFormat="1" ht="12" customHeight="1" hidden="1">
      <c r="A55" s="61"/>
      <c r="C55" s="61"/>
      <c r="K55" s="61"/>
      <c r="L55" s="61"/>
    </row>
    <row r="56" spans="1:12" s="57" customFormat="1" ht="12" customHeight="1" hidden="1">
      <c r="A56" s="56"/>
      <c r="C56" s="59" t="s">
        <v>11</v>
      </c>
      <c r="K56" s="61"/>
      <c r="L56" s="61"/>
    </row>
    <row r="57" spans="1:12" s="57" customFormat="1" ht="12" customHeight="1" hidden="1">
      <c r="A57" s="56"/>
      <c r="C57" s="56" t="s">
        <v>12</v>
      </c>
      <c r="K57" s="61"/>
      <c r="L57" s="61"/>
    </row>
    <row r="58" spans="1:12" s="57" customFormat="1" ht="12" customHeight="1" hidden="1">
      <c r="A58" s="56"/>
      <c r="C58" s="56" t="s">
        <v>13</v>
      </c>
      <c r="K58" s="61"/>
      <c r="L58" s="61"/>
    </row>
    <row r="59" spans="1:12" s="57" customFormat="1" ht="12" customHeight="1" hidden="1">
      <c r="A59" s="56"/>
      <c r="C59" s="56" t="s">
        <v>75</v>
      </c>
      <c r="K59" s="61"/>
      <c r="L59" s="61"/>
    </row>
    <row r="60" s="57" customFormat="1" ht="12" customHeight="1" hidden="1"/>
    <row r="61" spans="3:17" s="57" customFormat="1" ht="12" customHeight="1" hidden="1">
      <c r="C61" s="57" t="s">
        <v>11</v>
      </c>
      <c r="D61" s="62">
        <f>IF($W$20=0,0,IF($W$20&lt;$BH$20,$BI$20,IF(AND($W$20&gt;=$BH$20,$W$20&lt;=$BJ$20),$BL$20,IF(AND($W$20&gt;=$BJ$20,$W$20&lt;=$BK$20),$BM$20,$BO$20))))</f>
        <v>0</v>
      </c>
      <c r="E61" s="57">
        <f>D61*80/100</f>
        <v>0</v>
      </c>
      <c r="Q61" s="62"/>
    </row>
    <row r="62" spans="3:17" s="57" customFormat="1" ht="12" customHeight="1" hidden="1">
      <c r="C62" s="57" t="s">
        <v>12</v>
      </c>
      <c r="D62" s="62">
        <f>$D$61*40%</f>
        <v>0</v>
      </c>
      <c r="E62" s="57">
        <f>D62*80/100</f>
        <v>0</v>
      </c>
      <c r="Q62" s="62"/>
    </row>
    <row r="63" spans="3:17" s="57" customFormat="1" ht="12" customHeight="1" hidden="1">
      <c r="C63" s="57" t="s">
        <v>13</v>
      </c>
      <c r="D63" s="62">
        <f>$D$61*80%</f>
        <v>0</v>
      </c>
      <c r="E63" s="57">
        <f>D63*80/100</f>
        <v>0</v>
      </c>
      <c r="Q63" s="62"/>
    </row>
    <row r="64" spans="3:17" s="57" customFormat="1" ht="12" customHeight="1" hidden="1">
      <c r="C64" s="57" t="s">
        <v>14</v>
      </c>
      <c r="D64" s="62">
        <f>$D$61*80%</f>
        <v>0</v>
      </c>
      <c r="E64" s="57">
        <f>D64*80/100</f>
        <v>0</v>
      </c>
      <c r="Q64" s="62"/>
    </row>
    <row r="65" spans="3:17" s="57" customFormat="1" ht="12" customHeight="1" hidden="1">
      <c r="C65" s="63" t="s">
        <v>48</v>
      </c>
      <c r="D65" s="62"/>
      <c r="Q65" s="62"/>
    </row>
    <row r="66" spans="3:23" s="57" customFormat="1" ht="12" customHeight="1" hidden="1">
      <c r="C66" s="57" t="s">
        <v>11</v>
      </c>
      <c r="D66" s="62">
        <f>IF(AND($E$79=2,$AL$22="Судебная коллегия по экономическим делам Верховного Суда"),50*$C$88,IF(AND($E$79=2,$AL$22="экономические суды"),20*$C$88,IF($E$79=3,10*$C$88,5*$C$88)))</f>
        <v>1350</v>
      </c>
      <c r="Q66" s="62"/>
      <c r="T66" s="93"/>
      <c r="U66" s="93"/>
      <c r="V66" s="93"/>
      <c r="W66" s="93"/>
    </row>
    <row r="67" spans="3:23" s="57" customFormat="1" ht="12" customHeight="1" hidden="1">
      <c r="C67" s="57" t="s">
        <v>12</v>
      </c>
      <c r="D67" s="62">
        <f>$D$66*40%</f>
        <v>540</v>
      </c>
      <c r="Q67" s="62"/>
      <c r="T67" s="93"/>
      <c r="U67" s="93"/>
      <c r="V67" s="93"/>
      <c r="W67" s="93"/>
    </row>
    <row r="68" spans="3:23" s="57" customFormat="1" ht="12" customHeight="1" hidden="1">
      <c r="C68" s="57" t="s">
        <v>13</v>
      </c>
      <c r="D68" s="62">
        <f>$D$66*80%</f>
        <v>1080</v>
      </c>
      <c r="Q68" s="62"/>
      <c r="T68" s="93"/>
      <c r="U68" s="93"/>
      <c r="V68" s="93"/>
      <c r="W68" s="93"/>
    </row>
    <row r="69" spans="3:23" s="57" customFormat="1" ht="12" customHeight="1" hidden="1">
      <c r="C69" s="57" t="s">
        <v>14</v>
      </c>
      <c r="D69" s="62">
        <f>IF($AG$22="жалобы о пересмотре",$D$66*80%,0)</f>
        <v>0</v>
      </c>
      <c r="Q69" s="62"/>
      <c r="T69" s="93"/>
      <c r="U69" s="93"/>
      <c r="V69" s="93"/>
      <c r="W69" s="93"/>
    </row>
    <row r="70" spans="3:23" s="57" customFormat="1" ht="12" customHeight="1" hidden="1">
      <c r="C70" s="65" t="s">
        <v>48</v>
      </c>
      <c r="D70" s="62">
        <f>IF($AG$22="жалобы на ответы на обращения",$D$66*80%,0)</f>
        <v>0</v>
      </c>
      <c r="Q70" s="62"/>
      <c r="T70" s="64"/>
      <c r="U70" s="64"/>
      <c r="V70" s="64"/>
      <c r="W70" s="64"/>
    </row>
    <row r="71" spans="3:23" s="57" customFormat="1" ht="12" customHeight="1" hidden="1">
      <c r="C71" s="57" t="s">
        <v>11</v>
      </c>
      <c r="D71" s="62">
        <f>IF($AL$24="Судебная коллегия по экономическим делам Верховного Суда",50*$C$88,20*$C$88)</f>
        <v>1350</v>
      </c>
      <c r="Q71" s="62"/>
      <c r="T71" s="93"/>
      <c r="U71" s="93"/>
      <c r="V71" s="93"/>
      <c r="W71" s="93"/>
    </row>
    <row r="72" spans="3:23" s="57" customFormat="1" ht="12" customHeight="1" hidden="1">
      <c r="C72" s="57" t="s">
        <v>12</v>
      </c>
      <c r="D72" s="62">
        <f>$D$71*40%</f>
        <v>540</v>
      </c>
      <c r="Q72" s="62"/>
      <c r="T72" s="93"/>
      <c r="U72" s="93"/>
      <c r="V72" s="93"/>
      <c r="W72" s="93"/>
    </row>
    <row r="73" spans="3:23" s="57" customFormat="1" ht="12" customHeight="1" hidden="1">
      <c r="C73" s="57" t="s">
        <v>13</v>
      </c>
      <c r="D73" s="62">
        <f>$D$71*80%</f>
        <v>1080</v>
      </c>
      <c r="Q73" s="62"/>
      <c r="T73" s="93"/>
      <c r="U73" s="93"/>
      <c r="V73" s="93"/>
      <c r="W73" s="93"/>
    </row>
    <row r="74" spans="3:23" s="57" customFormat="1" ht="12" customHeight="1" hidden="1">
      <c r="C74" s="57" t="s">
        <v>14</v>
      </c>
      <c r="D74" s="62">
        <f>$D$71*80%</f>
        <v>1080</v>
      </c>
      <c r="Q74" s="62"/>
      <c r="T74" s="93"/>
      <c r="U74" s="93"/>
      <c r="V74" s="93"/>
      <c r="W74" s="93"/>
    </row>
    <row r="75" s="57" customFormat="1" ht="12" customHeight="1" hidden="1">
      <c r="Q75" s="62"/>
    </row>
    <row r="76" s="57" customFormat="1" ht="12" customHeight="1" hidden="1"/>
    <row r="77" s="57" customFormat="1" ht="12" customHeight="1" hidden="1"/>
    <row r="78" s="57" customFormat="1" ht="12" customHeight="1" hidden="1"/>
    <row r="79" spans="3:5" s="57" customFormat="1" ht="12" customHeight="1" hidden="1">
      <c r="C79" s="57" t="s">
        <v>49</v>
      </c>
      <c r="D79" s="57">
        <v>1</v>
      </c>
      <c r="E79" s="57">
        <f>IF(AB22="",0,VLOOKUP(AB22,C79:D81,2,0))</f>
        <v>2</v>
      </c>
    </row>
    <row r="80" spans="3:4" s="57" customFormat="1" ht="12" customHeight="1" hidden="1">
      <c r="C80" s="57" t="s">
        <v>15</v>
      </c>
      <c r="D80" s="57">
        <v>2</v>
      </c>
    </row>
    <row r="81" spans="3:4" s="57" customFormat="1" ht="12" customHeight="1" hidden="1">
      <c r="C81" s="57" t="s">
        <v>50</v>
      </c>
      <c r="D81" s="57">
        <v>3</v>
      </c>
    </row>
    <row r="82" s="57" customFormat="1" ht="12" customHeight="1" hidden="1"/>
    <row r="83" s="57" customFormat="1" ht="12" customHeight="1" hidden="1"/>
    <row r="84" s="57" customFormat="1" ht="12" customHeight="1" hidden="1">
      <c r="C84" s="66" t="s">
        <v>46</v>
      </c>
    </row>
    <row r="85" s="57" customFormat="1" ht="12" customHeight="1" hidden="1">
      <c r="C85" s="66" t="s">
        <v>47</v>
      </c>
    </row>
    <row r="86" s="57" customFormat="1" ht="12" customHeight="1" hidden="1"/>
    <row r="87" s="57" customFormat="1" ht="12" customHeight="1" hidden="1"/>
    <row r="88" s="57" customFormat="1" ht="12" customHeight="1" hidden="1">
      <c r="C88" s="57">
        <v>27</v>
      </c>
    </row>
    <row r="89" s="57" customFormat="1" ht="12" customHeight="1" hidden="1"/>
    <row r="90" s="57" customFormat="1" ht="12" customHeight="1"/>
    <row r="91" s="57" customFormat="1" ht="12" customHeight="1"/>
    <row r="92" s="57" customFormat="1" ht="12" customHeight="1"/>
    <row r="93" s="57" customFormat="1" ht="12" customHeight="1"/>
    <row r="94" s="57" customFormat="1" ht="12" customHeight="1"/>
    <row r="95" s="57" customFormat="1" ht="12" customHeight="1"/>
    <row r="96" s="57" customFormat="1" ht="12" customHeight="1"/>
    <row r="97" s="57" customFormat="1" ht="12" customHeight="1"/>
    <row r="98" s="57" customFormat="1" ht="12" customHeight="1"/>
    <row r="99" s="57" customFormat="1" ht="12" customHeight="1"/>
    <row r="100" s="57" customFormat="1" ht="12" customHeight="1"/>
    <row r="101" s="57" customFormat="1" ht="12" customHeight="1"/>
    <row r="102" s="57" customFormat="1" ht="12" customHeight="1"/>
    <row r="103" s="57" customFormat="1" ht="12" customHeight="1"/>
    <row r="104" s="57" customFormat="1" ht="12" customHeight="1"/>
    <row r="105" s="57" customFormat="1" ht="12" customHeight="1"/>
    <row r="106" s="57" customFormat="1" ht="12" customHeight="1"/>
    <row r="107" s="57" customFormat="1" ht="12" customHeight="1"/>
    <row r="108" s="57" customFormat="1" ht="12" customHeight="1"/>
    <row r="109" s="57" customFormat="1" ht="12" customHeight="1"/>
    <row r="110" s="57" customFormat="1" ht="12" customHeight="1"/>
    <row r="111" s="57" customFormat="1" ht="12" customHeight="1"/>
    <row r="112" s="57" customFormat="1" ht="12" customHeight="1"/>
    <row r="113" s="57" customFormat="1" ht="12" customHeight="1"/>
    <row r="114" s="57" customFormat="1" ht="12" customHeight="1"/>
    <row r="115" s="57" customFormat="1" ht="12" customHeight="1"/>
    <row r="116" s="57" customFormat="1" ht="12" customHeight="1"/>
    <row r="117" s="57" customFormat="1" ht="12" customHeight="1"/>
    <row r="118" s="57" customFormat="1" ht="12" customHeight="1"/>
    <row r="119" s="57" customFormat="1" ht="12" customHeight="1"/>
    <row r="120" s="57" customFormat="1" ht="12" customHeight="1"/>
    <row r="121" s="57" customFormat="1" ht="12" customHeight="1"/>
    <row r="122" s="57" customFormat="1" ht="12" customHeight="1"/>
    <row r="123" s="57" customFormat="1" ht="12" customHeight="1"/>
    <row r="124" s="57" customFormat="1" ht="12" customHeight="1"/>
    <row r="125" s="57" customFormat="1" ht="12" customHeight="1"/>
    <row r="126" spans="39:40" ht="12" customHeight="1">
      <c r="AM126" s="5"/>
      <c r="AN126" s="5"/>
    </row>
    <row r="127" spans="39:40" ht="12" customHeight="1">
      <c r="AM127" s="5"/>
      <c r="AN127" s="5"/>
    </row>
    <row r="128" spans="39:40" ht="12" customHeight="1">
      <c r="AM128" s="5"/>
      <c r="AN128" s="5"/>
    </row>
    <row r="129" spans="39:40" ht="12" customHeight="1">
      <c r="AM129" s="5"/>
      <c r="AN129" s="5"/>
    </row>
    <row r="130" spans="39:40" ht="12" customHeight="1">
      <c r="AM130" s="5"/>
      <c r="AN130" s="5"/>
    </row>
    <row r="131" spans="39:40" ht="12" customHeight="1">
      <c r="AM131" s="5"/>
      <c r="AN131" s="5"/>
    </row>
    <row r="132" spans="39:40" ht="12" customHeight="1">
      <c r="AM132" s="5"/>
      <c r="AN132" s="5"/>
    </row>
    <row r="133" spans="39:40" ht="12" customHeight="1">
      <c r="AM133" s="5"/>
      <c r="AN133" s="5"/>
    </row>
    <row r="134" spans="39:40" ht="12" customHeight="1">
      <c r="AM134" s="5"/>
      <c r="AN134" s="5"/>
    </row>
    <row r="135" spans="39:40" ht="12" customHeight="1">
      <c r="AM135" s="5"/>
      <c r="AN135" s="5"/>
    </row>
    <row r="136" spans="39:40" ht="12" customHeight="1">
      <c r="AM136" s="5"/>
      <c r="AN136" s="5"/>
    </row>
    <row r="137" spans="39:40" ht="12" customHeight="1">
      <c r="AM137" s="5"/>
      <c r="AN137" s="5"/>
    </row>
    <row r="138" spans="39:40" ht="12" customHeight="1">
      <c r="AM138" s="5"/>
      <c r="AN138" s="5"/>
    </row>
    <row r="139" spans="39:40" ht="12" customHeight="1">
      <c r="AM139" s="5"/>
      <c r="AN139" s="5"/>
    </row>
    <row r="140" spans="39:40" ht="12" customHeight="1">
      <c r="AM140" s="5"/>
      <c r="AN140" s="5"/>
    </row>
    <row r="141" spans="39:40" ht="12" customHeight="1">
      <c r="AM141" s="5"/>
      <c r="AN141" s="5"/>
    </row>
    <row r="142" spans="39:40" ht="12" customHeight="1">
      <c r="AM142" s="5"/>
      <c r="AN142" s="5"/>
    </row>
    <row r="143" spans="39:40" ht="12" customHeight="1">
      <c r="AM143" s="5"/>
      <c r="AN143" s="5"/>
    </row>
    <row r="144" spans="39:40" ht="12" customHeight="1">
      <c r="AM144" s="5"/>
      <c r="AN144" s="5"/>
    </row>
    <row r="145" spans="39:40" ht="12" customHeight="1">
      <c r="AM145" s="5"/>
      <c r="AN145" s="5"/>
    </row>
    <row r="146" spans="39:40" ht="12" customHeight="1">
      <c r="AM146" s="5"/>
      <c r="AN146" s="5"/>
    </row>
    <row r="147" spans="39:40" ht="12" customHeight="1">
      <c r="AM147" s="5"/>
      <c r="AN147" s="5"/>
    </row>
    <row r="148" spans="39:40" ht="12" customHeight="1">
      <c r="AM148" s="5"/>
      <c r="AN148" s="5"/>
    </row>
    <row r="149" spans="39:40" ht="12" customHeight="1">
      <c r="AM149" s="5"/>
      <c r="AN149" s="5"/>
    </row>
    <row r="150" spans="39:40" ht="12" customHeight="1">
      <c r="AM150" s="5"/>
      <c r="AN150" s="5"/>
    </row>
    <row r="151" spans="39:40" ht="12" customHeight="1">
      <c r="AM151" s="5"/>
      <c r="AN151" s="5"/>
    </row>
    <row r="152" spans="39:40" ht="12" customHeight="1">
      <c r="AM152" s="5"/>
      <c r="AN152" s="5"/>
    </row>
    <row r="153" spans="39:40" ht="12" customHeight="1">
      <c r="AM153" s="5"/>
      <c r="AN153" s="5"/>
    </row>
    <row r="154" spans="39:40" ht="12" customHeight="1">
      <c r="AM154" s="5"/>
      <c r="AN154" s="5"/>
    </row>
    <row r="155" spans="39:40" ht="12" customHeight="1">
      <c r="AM155" s="5"/>
      <c r="AN155" s="5"/>
    </row>
    <row r="156" spans="39:40" ht="12" customHeight="1">
      <c r="AM156" s="5"/>
      <c r="AN156" s="5"/>
    </row>
    <row r="157" spans="39:40" ht="12" customHeight="1">
      <c r="AM157" s="5"/>
      <c r="AN157" s="5"/>
    </row>
    <row r="158" spans="39:40" ht="12" customHeight="1">
      <c r="AM158" s="5"/>
      <c r="AN158" s="5"/>
    </row>
    <row r="159" spans="39:40" ht="12" customHeight="1">
      <c r="AM159" s="5"/>
      <c r="AN159" s="5"/>
    </row>
    <row r="160" spans="39:40" ht="12" customHeight="1">
      <c r="AM160" s="5"/>
      <c r="AN160" s="5"/>
    </row>
    <row r="161" spans="39:40" ht="12" customHeight="1">
      <c r="AM161" s="5"/>
      <c r="AN161" s="5"/>
    </row>
    <row r="162" spans="39:40" ht="12" customHeight="1">
      <c r="AM162" s="5"/>
      <c r="AN162" s="5"/>
    </row>
    <row r="163" spans="39:40" ht="12" customHeight="1">
      <c r="AM163" s="5"/>
      <c r="AN163" s="5"/>
    </row>
    <row r="164" spans="39:40" ht="12" customHeight="1">
      <c r="AM164" s="5"/>
      <c r="AN164" s="5"/>
    </row>
    <row r="165" spans="39:40" ht="12" customHeight="1">
      <c r="AM165" s="5"/>
      <c r="AN165" s="5"/>
    </row>
    <row r="166" spans="39:40" ht="12" customHeight="1">
      <c r="AM166" s="5"/>
      <c r="AN166" s="5"/>
    </row>
    <row r="167" spans="39:40" ht="12" customHeight="1">
      <c r="AM167" s="5"/>
      <c r="AN167" s="5"/>
    </row>
    <row r="168" spans="39:40" ht="12" customHeight="1">
      <c r="AM168" s="5"/>
      <c r="AN168" s="5"/>
    </row>
  </sheetData>
  <sheetProtection/>
  <mergeCells count="100">
    <mergeCell ref="AL20:AP20"/>
    <mergeCell ref="AB20:AF20"/>
    <mergeCell ref="AQ20:AU20"/>
    <mergeCell ref="AB19:AF19"/>
    <mergeCell ref="AG19:AK19"/>
    <mergeCell ref="AL19:AP19"/>
    <mergeCell ref="AQ19:AU19"/>
    <mergeCell ref="C3:BE3"/>
    <mergeCell ref="AB8:AF18"/>
    <mergeCell ref="W8:AA18"/>
    <mergeCell ref="C19:V19"/>
    <mergeCell ref="W20:AA20"/>
    <mergeCell ref="W19:AA19"/>
    <mergeCell ref="C20:V20"/>
    <mergeCell ref="BA19:BE19"/>
    <mergeCell ref="AV19:AZ19"/>
    <mergeCell ref="AG20:AK20"/>
    <mergeCell ref="AV22:AZ22"/>
    <mergeCell ref="BA22:BE22"/>
    <mergeCell ref="AQ21:AU21"/>
    <mergeCell ref="AV21:AZ21"/>
    <mergeCell ref="BA21:BE21"/>
    <mergeCell ref="BA20:BE20"/>
    <mergeCell ref="AV20:AZ20"/>
    <mergeCell ref="AL22:AP22"/>
    <mergeCell ref="AG21:AK21"/>
    <mergeCell ref="B1:BF1"/>
    <mergeCell ref="BA8:BE18"/>
    <mergeCell ref="AV8:AZ18"/>
    <mergeCell ref="AQ8:AU18"/>
    <mergeCell ref="AL8:AP18"/>
    <mergeCell ref="AG8:AK18"/>
    <mergeCell ref="C8:V18"/>
    <mergeCell ref="AQ22:AU22"/>
    <mergeCell ref="C6:V6"/>
    <mergeCell ref="W6:AA6"/>
    <mergeCell ref="AL21:AP21"/>
    <mergeCell ref="C22:V22"/>
    <mergeCell ref="W22:AA22"/>
    <mergeCell ref="AB22:AF22"/>
    <mergeCell ref="C21:V21"/>
    <mergeCell ref="W21:AA21"/>
    <mergeCell ref="AB21:AF21"/>
    <mergeCell ref="AG22:AK22"/>
    <mergeCell ref="C24:V24"/>
    <mergeCell ref="W24:AA24"/>
    <mergeCell ref="AB24:AF24"/>
    <mergeCell ref="AG24:AK24"/>
    <mergeCell ref="AL24:AP24"/>
    <mergeCell ref="AQ24:AU24"/>
    <mergeCell ref="AV24:AZ24"/>
    <mergeCell ref="BA24:BE24"/>
    <mergeCell ref="C23:V23"/>
    <mergeCell ref="W23:AA23"/>
    <mergeCell ref="AB23:AF23"/>
    <mergeCell ref="AG23:AK23"/>
    <mergeCell ref="AL23:AP23"/>
    <mergeCell ref="AQ23:AU23"/>
    <mergeCell ref="AV23:AZ23"/>
    <mergeCell ref="BA23:BE23"/>
    <mergeCell ref="T71:W71"/>
    <mergeCell ref="T72:W72"/>
    <mergeCell ref="AB28:AF28"/>
    <mergeCell ref="AG28:AK28"/>
    <mergeCell ref="T66:W66"/>
    <mergeCell ref="T67:W67"/>
    <mergeCell ref="AB25:AF25"/>
    <mergeCell ref="AG25:AK25"/>
    <mergeCell ref="T73:W73"/>
    <mergeCell ref="T74:W74"/>
    <mergeCell ref="C25:V25"/>
    <mergeCell ref="W25:AA25"/>
    <mergeCell ref="C28:V28"/>
    <mergeCell ref="W28:AA28"/>
    <mergeCell ref="T68:W68"/>
    <mergeCell ref="T69:W69"/>
    <mergeCell ref="AL25:AP25"/>
    <mergeCell ref="AQ25:AU25"/>
    <mergeCell ref="AV25:AZ25"/>
    <mergeCell ref="BA25:BE25"/>
    <mergeCell ref="C26:V26"/>
    <mergeCell ref="W26:AA26"/>
    <mergeCell ref="AB26:AF26"/>
    <mergeCell ref="AG26:AK26"/>
    <mergeCell ref="AL26:AP26"/>
    <mergeCell ref="AQ26:AU26"/>
    <mergeCell ref="C27:V27"/>
    <mergeCell ref="W27:AA27"/>
    <mergeCell ref="AB27:AF27"/>
    <mergeCell ref="AG27:AK27"/>
    <mergeCell ref="AL27:AP27"/>
    <mergeCell ref="AQ27:AU27"/>
    <mergeCell ref="AL28:AP28"/>
    <mergeCell ref="AQ28:AU28"/>
    <mergeCell ref="AV28:AZ28"/>
    <mergeCell ref="BA28:BE28"/>
    <mergeCell ref="AV26:AZ26"/>
    <mergeCell ref="BA26:BE26"/>
    <mergeCell ref="AV27:AZ27"/>
    <mergeCell ref="BA27:BE27"/>
  </mergeCells>
  <dataValidations count="3">
    <dataValidation type="list" allowBlank="1" showInputMessage="1" showErrorMessage="1" sqref="AG28:AK28 AG20:AK20 AG22:AK22 AG24:AK24 AG26:AK26">
      <formula1>$C$41:$C$44</formula1>
    </dataValidation>
    <dataValidation type="list" allowBlank="1" showInputMessage="1" showErrorMessage="1" sqref="AB22:AF22">
      <formula1>$C$31:$C$33</formula1>
    </dataValidation>
    <dataValidation type="list" allowBlank="1" showInputMessage="1" showErrorMessage="1" sqref="AL24:AP24 AL22:AP22">
      <formula1>$C$34:$C$35</formula1>
    </dataValidation>
  </dataValidation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28" min="2" max="5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P25"/>
  <sheetViews>
    <sheetView zoomScalePageLayoutView="0" workbookViewId="0" topLeftCell="A1">
      <selection activeCell="E9" sqref="E9"/>
    </sheetView>
  </sheetViews>
  <sheetFormatPr defaultColWidth="9.00390625" defaultRowHeight="12.75"/>
  <sheetData>
    <row r="1" ht="12.75">
      <c r="C1" t="s">
        <v>127</v>
      </c>
    </row>
    <row r="2" spans="2:3" ht="12.75">
      <c r="B2">
        <f>'Исковое заявление'!W6</f>
        <v>27</v>
      </c>
      <c r="C2">
        <f>B2</f>
        <v>27</v>
      </c>
    </row>
    <row r="3" ht="12.75">
      <c r="C3" t="s">
        <v>126</v>
      </c>
    </row>
    <row r="4" spans="2:14" ht="12.75">
      <c r="B4" t="s">
        <v>125</v>
      </c>
      <c r="C4">
        <f>B5/C2</f>
        <v>0</v>
      </c>
      <c r="D4">
        <f>IF(C4&lt;100,1,IF(C4&lt;1000,2,IF(C4&lt;10000,3,4)))</f>
        <v>1</v>
      </c>
      <c r="E4" t="s">
        <v>128</v>
      </c>
      <c r="H4">
        <v>1</v>
      </c>
      <c r="I4">
        <f>C2*25</f>
        <v>675</v>
      </c>
      <c r="M4">
        <v>1</v>
      </c>
      <c r="N4">
        <f>C2*25</f>
        <v>675</v>
      </c>
    </row>
    <row r="5" spans="2:14" ht="12.75">
      <c r="B5">
        <f>'Исковое заявление'!W20</f>
        <v>0</v>
      </c>
      <c r="D5">
        <f>IF(B5=0,0,VLOOKUP(D4,H4:I7,2,FALSE))</f>
        <v>0</v>
      </c>
      <c r="E5" t="s">
        <v>129</v>
      </c>
      <c r="F5">
        <f>B5*0.05</f>
        <v>0</v>
      </c>
      <c r="H5">
        <v>2</v>
      </c>
      <c r="I5">
        <f>IF(F5&lt;I4,I4,F5)</f>
        <v>675</v>
      </c>
      <c r="K5">
        <f>B11*0.05</f>
        <v>0</v>
      </c>
      <c r="M5">
        <v>2</v>
      </c>
      <c r="N5">
        <f>IF(K5&lt;N4,N4,K5)</f>
        <v>675</v>
      </c>
    </row>
    <row r="6" spans="5:14" ht="12.75">
      <c r="E6" t="s">
        <v>130</v>
      </c>
      <c r="F6">
        <f>(C2*1000)*0.05+(B5-(C2*1000))*0.03</f>
        <v>540</v>
      </c>
      <c r="G6">
        <f>(C2*1000)*0.05+(C2*9000)*0.03</f>
        <v>8640</v>
      </c>
      <c r="H6">
        <v>3</v>
      </c>
      <c r="I6">
        <f>IF(F6&gt;G6,G6,F6)</f>
        <v>540</v>
      </c>
      <c r="K6">
        <f>(C2*1000)*0.05+(B11-(C2*1000))*0.03</f>
        <v>540</v>
      </c>
      <c r="L6">
        <f>(C2*1000)*0.05+(C2*9000)*0.03</f>
        <v>8640</v>
      </c>
      <c r="M6">
        <v>3</v>
      </c>
      <c r="N6">
        <f>IF(K6&gt;L6,L6,K6)</f>
        <v>540</v>
      </c>
    </row>
    <row r="7" spans="5:14" ht="12.75">
      <c r="E7" t="s">
        <v>131</v>
      </c>
      <c r="F7">
        <f>B5*0.01</f>
        <v>0</v>
      </c>
      <c r="H7">
        <v>4</v>
      </c>
      <c r="I7">
        <f>IF(F7&lt;I6,I6,F7)</f>
        <v>540</v>
      </c>
      <c r="K7">
        <f>B11*0.01</f>
        <v>0</v>
      </c>
      <c r="M7">
        <v>4</v>
      </c>
      <c r="N7">
        <f>IF(K7&lt;N6,N6,K7)</f>
        <v>540</v>
      </c>
    </row>
    <row r="8" spans="2:3" ht="12.75">
      <c r="B8">
        <v>10000</v>
      </c>
      <c r="C8">
        <f>C2*B8</f>
        <v>270000</v>
      </c>
    </row>
    <row r="9" spans="4:5" ht="12.75">
      <c r="D9">
        <f>D12*0.8</f>
        <v>540</v>
      </c>
      <c r="E9">
        <f>IF('Исковое заявление'!W28=0,0,C2*25)</f>
        <v>0</v>
      </c>
    </row>
    <row r="11" spans="2:6" ht="12.75">
      <c r="B11">
        <f>'Исковое заявление'!W26</f>
        <v>0</v>
      </c>
      <c r="C11">
        <f>B11/B2</f>
        <v>0</v>
      </c>
      <c r="D11">
        <f>IF(C11&lt;100,1,IF(C11&lt;1000,2,IF(C11&lt;10000,3,4)))</f>
        <v>1</v>
      </c>
      <c r="E11">
        <f>VLOOKUP(D11,M4:N7,2,)</f>
        <v>675</v>
      </c>
      <c r="F11">
        <f>IF(B11=0,0,E11*0.8)</f>
        <v>0</v>
      </c>
    </row>
    <row r="12" ht="12.75">
      <c r="D12">
        <f>VLOOKUP(D11,M4:N7,2,FALSE)</f>
        <v>675</v>
      </c>
    </row>
    <row r="15" spans="2:16" ht="12.75">
      <c r="B15" t="str">
        <f>'Исковое заявление'!AB22</f>
        <v>юридическое лицо</v>
      </c>
      <c r="C15">
        <f>'Исковое заявление'!AC22</f>
        <v>0</v>
      </c>
      <c r="D15">
        <f>'Исковое заявление'!AD22</f>
        <v>0</v>
      </c>
      <c r="E15">
        <f>'Исковое заявление'!AE22</f>
        <v>0</v>
      </c>
      <c r="F15">
        <f>'Исковое заявление'!AF22</f>
        <v>0</v>
      </c>
      <c r="G15" t="str">
        <f>'Исковое заявление'!AG22</f>
        <v>обращения в первую инстанцию</v>
      </c>
      <c r="H15">
        <f>'Исковое заявление'!AH22</f>
        <v>0</v>
      </c>
      <c r="I15">
        <f>'Исковое заявление'!AI22</f>
        <v>0</v>
      </c>
      <c r="J15">
        <f>'Исковое заявление'!AJ22</f>
        <v>0</v>
      </c>
      <c r="K15">
        <f>'Исковое заявление'!AK22</f>
        <v>0</v>
      </c>
      <c r="L15" t="str">
        <f>'Исковое заявление'!AL22</f>
        <v>Судебная коллегия по экономическим делам Верховного Суда</v>
      </c>
      <c r="M15">
        <f>'Исковое заявление'!AM22</f>
        <v>0</v>
      </c>
      <c r="N15">
        <f>'Исковое заявление'!AN22</f>
        <v>0</v>
      </c>
      <c r="O15">
        <f>'Исковое заявление'!AO22</f>
        <v>0</v>
      </c>
      <c r="P15">
        <f>'Исковое заявление'!AP22</f>
        <v>0</v>
      </c>
    </row>
    <row r="16" spans="2:3" ht="12.75">
      <c r="B16">
        <f>VLOOKUP(B15,B18:D20,3,)</f>
        <v>50</v>
      </c>
      <c r="C16">
        <f>IF('Исковое заявление'!W22=0,0,B16*C2)</f>
        <v>0</v>
      </c>
    </row>
    <row r="18" spans="2:13" ht="12.75">
      <c r="B18" t="s">
        <v>50</v>
      </c>
      <c r="D18">
        <v>10</v>
      </c>
      <c r="G18" t="s">
        <v>11</v>
      </c>
      <c r="L18" t="s">
        <v>46</v>
      </c>
      <c r="M18">
        <v>50</v>
      </c>
    </row>
    <row r="19" spans="2:13" ht="12.75">
      <c r="B19" t="s">
        <v>15</v>
      </c>
      <c r="D19">
        <f>VLOOKUP(L15,L18:M19,2,)</f>
        <v>50</v>
      </c>
      <c r="L19" t="s">
        <v>47</v>
      </c>
      <c r="M19">
        <v>20</v>
      </c>
    </row>
    <row r="20" spans="2:4" ht="12.75">
      <c r="B20" t="s">
        <v>49</v>
      </c>
      <c r="D20">
        <v>5</v>
      </c>
    </row>
    <row r="21" ht="12.75">
      <c r="L21" t="str">
        <f>'Исковое заявление'!$AL$24</f>
        <v>Судебная коллегия по экономическим делам Верховного Суда</v>
      </c>
    </row>
    <row r="22" spans="12:13" ht="12.75">
      <c r="L22" t="s">
        <v>46</v>
      </c>
      <c r="M22">
        <v>50</v>
      </c>
    </row>
    <row r="23" spans="12:13" ht="12.75">
      <c r="L23" t="s">
        <v>47</v>
      </c>
      <c r="M23">
        <v>20</v>
      </c>
    </row>
    <row r="25" ht="12.75">
      <c r="L25">
        <f>IF('Исковое заявление'!W24=0,0,VLOOKUP(L21,L22:M23,2,)*C2)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BU139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3" width="2.375" style="1" customWidth="1"/>
    <col min="4" max="4" width="11.375" style="1" customWidth="1"/>
    <col min="5" max="40" width="2.375" style="1" customWidth="1"/>
    <col min="41" max="41" width="3.625" style="1" customWidth="1"/>
    <col min="42" max="52" width="2.375" style="1" customWidth="1"/>
    <col min="53" max="53" width="2.75390625" style="1" customWidth="1"/>
    <col min="54" max="71" width="2.75390625" style="37" customWidth="1"/>
    <col min="72" max="16384" width="2.75390625" style="1" customWidth="1"/>
  </cols>
  <sheetData>
    <row r="1" spans="2:53" ht="16.5" customHeight="1" thickBot="1"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</row>
    <row r="2" spans="2:53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6"/>
    </row>
    <row r="3" spans="2:73" ht="12" customHeight="1">
      <c r="B3" s="4"/>
      <c r="C3" s="11"/>
      <c r="D3" s="11"/>
      <c r="E3" s="11"/>
      <c r="F3" s="11"/>
      <c r="G3" s="11"/>
      <c r="H3" s="11"/>
      <c r="I3" s="11"/>
      <c r="J3" s="12"/>
      <c r="K3" s="1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2"/>
      <c r="AU3" s="12"/>
      <c r="AV3" s="11"/>
      <c r="AW3" s="11"/>
      <c r="AX3" s="11"/>
      <c r="AY3" s="11"/>
      <c r="AZ3" s="11"/>
      <c r="BA3" s="7"/>
      <c r="BK3" s="38"/>
      <c r="BL3" s="38"/>
      <c r="BM3" s="38"/>
      <c r="BN3" s="38"/>
      <c r="BO3" s="38"/>
      <c r="BP3" s="38"/>
      <c r="BQ3" s="38"/>
      <c r="BR3" s="38"/>
      <c r="BS3" s="38"/>
      <c r="BT3" s="5"/>
      <c r="BU3" s="5"/>
    </row>
    <row r="4" spans="2:73" ht="12" customHeight="1">
      <c r="B4" s="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7"/>
      <c r="BK4" s="38"/>
      <c r="BL4" s="38"/>
      <c r="BM4" s="120"/>
      <c r="BN4" s="120"/>
      <c r="BO4" s="120"/>
      <c r="BP4" s="120"/>
      <c r="BQ4" s="120"/>
      <c r="BR4" s="120"/>
      <c r="BS4" s="120"/>
      <c r="BT4" s="120"/>
      <c r="BU4" s="120"/>
    </row>
    <row r="5" spans="2:53" ht="12" customHeight="1">
      <c r="B5" s="4"/>
      <c r="C5" s="97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  <c r="W5" s="97" t="s">
        <v>4</v>
      </c>
      <c r="X5" s="98"/>
      <c r="Y5" s="98"/>
      <c r="Z5" s="98"/>
      <c r="AA5" s="98"/>
      <c r="AB5" s="99"/>
      <c r="AC5" s="97" t="s">
        <v>5</v>
      </c>
      <c r="AD5" s="98"/>
      <c r="AE5" s="98"/>
      <c r="AF5" s="98"/>
      <c r="AG5" s="98"/>
      <c r="AH5" s="99"/>
      <c r="AI5" s="97" t="s">
        <v>6</v>
      </c>
      <c r="AJ5" s="98"/>
      <c r="AK5" s="98"/>
      <c r="AL5" s="98"/>
      <c r="AM5" s="98"/>
      <c r="AN5" s="99"/>
      <c r="AO5" s="97" t="s">
        <v>7</v>
      </c>
      <c r="AP5" s="98"/>
      <c r="AQ5" s="98"/>
      <c r="AR5" s="98"/>
      <c r="AS5" s="98"/>
      <c r="AT5" s="99"/>
      <c r="AU5" s="97" t="s">
        <v>8</v>
      </c>
      <c r="AV5" s="106"/>
      <c r="AW5" s="106"/>
      <c r="AX5" s="106"/>
      <c r="AY5" s="106"/>
      <c r="AZ5" s="107"/>
      <c r="BA5" s="7"/>
    </row>
    <row r="6" spans="2:53" ht="12" customHeight="1">
      <c r="B6" s="4"/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/>
      <c r="W6" s="100"/>
      <c r="X6" s="101"/>
      <c r="Y6" s="101"/>
      <c r="Z6" s="101"/>
      <c r="AA6" s="101"/>
      <c r="AB6" s="102"/>
      <c r="AC6" s="100"/>
      <c r="AD6" s="101"/>
      <c r="AE6" s="101"/>
      <c r="AF6" s="101"/>
      <c r="AG6" s="101"/>
      <c r="AH6" s="102"/>
      <c r="AI6" s="100"/>
      <c r="AJ6" s="101"/>
      <c r="AK6" s="101"/>
      <c r="AL6" s="101"/>
      <c r="AM6" s="101"/>
      <c r="AN6" s="102"/>
      <c r="AO6" s="100"/>
      <c r="AP6" s="101"/>
      <c r="AQ6" s="101"/>
      <c r="AR6" s="101"/>
      <c r="AS6" s="101"/>
      <c r="AT6" s="102"/>
      <c r="AU6" s="108"/>
      <c r="AV6" s="109"/>
      <c r="AW6" s="109"/>
      <c r="AX6" s="109"/>
      <c r="AY6" s="109"/>
      <c r="AZ6" s="110"/>
      <c r="BA6" s="7"/>
    </row>
    <row r="7" spans="2:53" ht="12" customHeight="1">
      <c r="B7" s="4"/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2"/>
      <c r="W7" s="100"/>
      <c r="X7" s="101"/>
      <c r="Y7" s="101"/>
      <c r="Z7" s="101"/>
      <c r="AA7" s="101"/>
      <c r="AB7" s="102"/>
      <c r="AC7" s="100"/>
      <c r="AD7" s="101"/>
      <c r="AE7" s="101"/>
      <c r="AF7" s="101"/>
      <c r="AG7" s="101"/>
      <c r="AH7" s="102"/>
      <c r="AI7" s="100"/>
      <c r="AJ7" s="101"/>
      <c r="AK7" s="101"/>
      <c r="AL7" s="101"/>
      <c r="AM7" s="101"/>
      <c r="AN7" s="102"/>
      <c r="AO7" s="100"/>
      <c r="AP7" s="101"/>
      <c r="AQ7" s="101"/>
      <c r="AR7" s="101"/>
      <c r="AS7" s="101"/>
      <c r="AT7" s="102"/>
      <c r="AU7" s="108"/>
      <c r="AV7" s="109"/>
      <c r="AW7" s="109"/>
      <c r="AX7" s="109"/>
      <c r="AY7" s="109"/>
      <c r="AZ7" s="110"/>
      <c r="BA7" s="7"/>
    </row>
    <row r="8" spans="2:53" ht="12" customHeight="1">
      <c r="B8" s="4"/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2"/>
      <c r="W8" s="100"/>
      <c r="X8" s="101"/>
      <c r="Y8" s="101"/>
      <c r="Z8" s="101"/>
      <c r="AA8" s="101"/>
      <c r="AB8" s="102"/>
      <c r="AC8" s="100"/>
      <c r="AD8" s="101"/>
      <c r="AE8" s="101"/>
      <c r="AF8" s="101"/>
      <c r="AG8" s="101"/>
      <c r="AH8" s="102"/>
      <c r="AI8" s="100"/>
      <c r="AJ8" s="101"/>
      <c r="AK8" s="101"/>
      <c r="AL8" s="101"/>
      <c r="AM8" s="101"/>
      <c r="AN8" s="102"/>
      <c r="AO8" s="100"/>
      <c r="AP8" s="101"/>
      <c r="AQ8" s="101"/>
      <c r="AR8" s="101"/>
      <c r="AS8" s="101"/>
      <c r="AT8" s="102"/>
      <c r="AU8" s="108"/>
      <c r="AV8" s="109"/>
      <c r="AW8" s="109"/>
      <c r="AX8" s="109"/>
      <c r="AY8" s="109"/>
      <c r="AZ8" s="110"/>
      <c r="BA8" s="7"/>
    </row>
    <row r="9" spans="2:53" ht="12" customHeight="1">
      <c r="B9" s="4"/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5"/>
      <c r="W9" s="103"/>
      <c r="X9" s="104"/>
      <c r="Y9" s="104"/>
      <c r="Z9" s="104"/>
      <c r="AA9" s="104"/>
      <c r="AB9" s="105"/>
      <c r="AC9" s="103"/>
      <c r="AD9" s="104"/>
      <c r="AE9" s="104"/>
      <c r="AF9" s="104"/>
      <c r="AG9" s="104"/>
      <c r="AH9" s="105"/>
      <c r="AI9" s="103"/>
      <c r="AJ9" s="104"/>
      <c r="AK9" s="104"/>
      <c r="AL9" s="104"/>
      <c r="AM9" s="104"/>
      <c r="AN9" s="105"/>
      <c r="AO9" s="103"/>
      <c r="AP9" s="104"/>
      <c r="AQ9" s="104"/>
      <c r="AR9" s="104"/>
      <c r="AS9" s="104"/>
      <c r="AT9" s="105"/>
      <c r="AU9" s="111"/>
      <c r="AV9" s="112"/>
      <c r="AW9" s="112"/>
      <c r="AX9" s="112"/>
      <c r="AY9" s="112"/>
      <c r="AZ9" s="113"/>
      <c r="BA9" s="7"/>
    </row>
    <row r="10" spans="2:53" ht="12" customHeight="1">
      <c r="B10" s="4"/>
      <c r="C10" s="76">
        <v>1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8"/>
      <c r="W10" s="76">
        <v>2</v>
      </c>
      <c r="X10" s="77"/>
      <c r="Y10" s="77"/>
      <c r="Z10" s="77"/>
      <c r="AA10" s="77"/>
      <c r="AB10" s="78"/>
      <c r="AC10" s="76">
        <v>3</v>
      </c>
      <c r="AD10" s="77"/>
      <c r="AE10" s="77"/>
      <c r="AF10" s="77"/>
      <c r="AG10" s="77"/>
      <c r="AH10" s="78"/>
      <c r="AI10" s="76">
        <v>4</v>
      </c>
      <c r="AJ10" s="77"/>
      <c r="AK10" s="77"/>
      <c r="AL10" s="77"/>
      <c r="AM10" s="77"/>
      <c r="AN10" s="78"/>
      <c r="AO10" s="76">
        <v>5</v>
      </c>
      <c r="AP10" s="77"/>
      <c r="AQ10" s="77"/>
      <c r="AR10" s="77"/>
      <c r="AS10" s="77"/>
      <c r="AT10" s="78"/>
      <c r="AU10" s="76">
        <v>6</v>
      </c>
      <c r="AV10" s="77"/>
      <c r="AW10" s="77"/>
      <c r="AX10" s="77"/>
      <c r="AY10" s="77"/>
      <c r="AZ10" s="78"/>
      <c r="BA10" s="7"/>
    </row>
    <row r="11" spans="2:57" ht="24.75" customHeight="1">
      <c r="B11" s="4"/>
      <c r="C11" s="85" t="s">
        <v>44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7"/>
      <c r="W11" s="88">
        <v>200</v>
      </c>
      <c r="X11" s="88"/>
      <c r="Y11" s="88"/>
      <c r="Z11" s="88"/>
      <c r="AA11" s="88"/>
      <c r="AB11" s="88"/>
      <c r="AC11" s="89" t="s">
        <v>1</v>
      </c>
      <c r="AD11" s="89"/>
      <c r="AE11" s="89"/>
      <c r="AF11" s="89"/>
      <c r="AG11" s="89"/>
      <c r="AH11" s="89"/>
      <c r="AI11" s="89" t="s">
        <v>1</v>
      </c>
      <c r="AJ11" s="89"/>
      <c r="AK11" s="89"/>
      <c r="AL11" s="89"/>
      <c r="AM11" s="89"/>
      <c r="AN11" s="89"/>
      <c r="AO11" s="118" t="s">
        <v>1</v>
      </c>
      <c r="AP11" s="118"/>
      <c r="AQ11" s="118"/>
      <c r="AR11" s="118"/>
      <c r="AS11" s="118"/>
      <c r="AT11" s="118"/>
      <c r="AU11" s="72">
        <f>IF(W11=0,0,IF(W11&lt;100*C59,2*C59,IF(AND(W11&gt;=100*C59,W11&lt;=300*C59),5*C59,IF(W11&gt;300*C59,7*C59,0))))</f>
        <v>54</v>
      </c>
      <c r="AV11" s="72"/>
      <c r="AW11" s="72"/>
      <c r="AX11" s="72"/>
      <c r="AY11" s="72"/>
      <c r="AZ11" s="72"/>
      <c r="BA11" s="7"/>
      <c r="BC11" s="119"/>
      <c r="BD11" s="119"/>
      <c r="BE11" s="119"/>
    </row>
    <row r="12" spans="2:53" ht="12" customHeight="1">
      <c r="B12" s="4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8"/>
      <c r="W12" s="79"/>
      <c r="X12" s="80"/>
      <c r="Y12" s="80"/>
      <c r="Z12" s="80"/>
      <c r="AA12" s="80"/>
      <c r="AB12" s="81"/>
      <c r="AC12" s="76"/>
      <c r="AD12" s="77"/>
      <c r="AE12" s="77"/>
      <c r="AF12" s="77"/>
      <c r="AG12" s="77"/>
      <c r="AH12" s="78"/>
      <c r="AI12" s="76"/>
      <c r="AJ12" s="77"/>
      <c r="AK12" s="77"/>
      <c r="AL12" s="77"/>
      <c r="AM12" s="77"/>
      <c r="AN12" s="78"/>
      <c r="AO12" s="76"/>
      <c r="AP12" s="77"/>
      <c r="AQ12" s="77"/>
      <c r="AR12" s="77"/>
      <c r="AS12" s="77"/>
      <c r="AT12" s="78"/>
      <c r="AU12" s="79"/>
      <c r="AV12" s="80"/>
      <c r="AW12" s="80"/>
      <c r="AX12" s="80"/>
      <c r="AY12" s="80"/>
      <c r="AZ12" s="81"/>
      <c r="BA12" s="7"/>
    </row>
    <row r="13" spans="2:53" ht="37.5" customHeight="1">
      <c r="B13" s="4"/>
      <c r="C13" s="85" t="s">
        <v>45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7"/>
      <c r="W13" s="88">
        <v>200</v>
      </c>
      <c r="X13" s="88"/>
      <c r="Y13" s="88"/>
      <c r="Z13" s="88"/>
      <c r="AA13" s="88"/>
      <c r="AB13" s="88"/>
      <c r="AC13" s="89" t="s">
        <v>1</v>
      </c>
      <c r="AD13" s="89"/>
      <c r="AE13" s="89"/>
      <c r="AF13" s="89"/>
      <c r="AG13" s="89"/>
      <c r="AH13" s="89"/>
      <c r="AI13" s="89" t="s">
        <v>1</v>
      </c>
      <c r="AJ13" s="89"/>
      <c r="AK13" s="89"/>
      <c r="AL13" s="89"/>
      <c r="AM13" s="89"/>
      <c r="AN13" s="89"/>
      <c r="AO13" s="89" t="s">
        <v>1</v>
      </c>
      <c r="AP13" s="89"/>
      <c r="AQ13" s="89"/>
      <c r="AR13" s="89"/>
      <c r="AS13" s="89"/>
      <c r="AT13" s="89"/>
      <c r="AU13" s="72">
        <v>270</v>
      </c>
      <c r="AV13" s="72"/>
      <c r="AW13" s="72"/>
      <c r="AX13" s="72"/>
      <c r="AY13" s="72"/>
      <c r="AZ13" s="72"/>
      <c r="BA13" s="7"/>
    </row>
    <row r="14" spans="2:53" ht="12" customHeight="1">
      <c r="B14" s="4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8"/>
      <c r="W14" s="79"/>
      <c r="X14" s="80"/>
      <c r="Y14" s="80"/>
      <c r="Z14" s="80"/>
      <c r="AA14" s="80"/>
      <c r="AB14" s="81"/>
      <c r="AC14" s="76"/>
      <c r="AD14" s="77"/>
      <c r="AE14" s="77"/>
      <c r="AF14" s="77"/>
      <c r="AG14" s="77"/>
      <c r="AH14" s="78"/>
      <c r="AI14" s="76"/>
      <c r="AJ14" s="77"/>
      <c r="AK14" s="77"/>
      <c r="AL14" s="77"/>
      <c r="AM14" s="77"/>
      <c r="AN14" s="78"/>
      <c r="AO14" s="76"/>
      <c r="AP14" s="77"/>
      <c r="AQ14" s="77"/>
      <c r="AR14" s="77"/>
      <c r="AS14" s="77"/>
      <c r="AT14" s="78"/>
      <c r="AU14" s="79"/>
      <c r="AV14" s="80"/>
      <c r="AW14" s="80"/>
      <c r="AX14" s="80"/>
      <c r="AY14" s="80"/>
      <c r="AZ14" s="81"/>
      <c r="BA14" s="7"/>
    </row>
    <row r="15" spans="2:53" ht="40.5" customHeight="1">
      <c r="B15" s="4"/>
      <c r="C15" s="85" t="s">
        <v>19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7"/>
      <c r="W15" s="88">
        <v>200</v>
      </c>
      <c r="X15" s="88"/>
      <c r="Y15" s="88"/>
      <c r="Z15" s="88"/>
      <c r="AA15" s="88"/>
      <c r="AB15" s="88"/>
      <c r="AC15" s="89" t="s">
        <v>1</v>
      </c>
      <c r="AD15" s="89"/>
      <c r="AE15" s="89"/>
      <c r="AF15" s="89"/>
      <c r="AG15" s="89"/>
      <c r="AH15" s="89"/>
      <c r="AI15" s="89" t="s">
        <v>1</v>
      </c>
      <c r="AJ15" s="89"/>
      <c r="AK15" s="89"/>
      <c r="AL15" s="89"/>
      <c r="AM15" s="89"/>
      <c r="AN15" s="89"/>
      <c r="AO15" s="90" t="s">
        <v>46</v>
      </c>
      <c r="AP15" s="91"/>
      <c r="AQ15" s="91"/>
      <c r="AR15" s="91"/>
      <c r="AS15" s="91"/>
      <c r="AT15" s="92"/>
      <c r="AU15" s="72">
        <f>IF(AO15="Судебная коллегия по экономическим делам Верховного Суда",15*C59,10*C59)</f>
        <v>405</v>
      </c>
      <c r="AV15" s="72"/>
      <c r="AW15" s="72"/>
      <c r="AX15" s="72"/>
      <c r="AY15" s="72"/>
      <c r="AZ15" s="72"/>
      <c r="BA15" s="7"/>
    </row>
    <row r="16" spans="2:53" ht="12" customHeight="1">
      <c r="B16" s="4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  <c r="W16" s="79"/>
      <c r="X16" s="80"/>
      <c r="Y16" s="80"/>
      <c r="Z16" s="80"/>
      <c r="AA16" s="80"/>
      <c r="AB16" s="81"/>
      <c r="AC16" s="76"/>
      <c r="AD16" s="77"/>
      <c r="AE16" s="77"/>
      <c r="AF16" s="77"/>
      <c r="AG16" s="77"/>
      <c r="AH16" s="78"/>
      <c r="AI16" s="76"/>
      <c r="AJ16" s="77"/>
      <c r="AK16" s="77"/>
      <c r="AL16" s="77"/>
      <c r="AM16" s="77"/>
      <c r="AN16" s="78"/>
      <c r="AO16" s="76"/>
      <c r="AP16" s="77"/>
      <c r="AQ16" s="77"/>
      <c r="AR16" s="77"/>
      <c r="AS16" s="77"/>
      <c r="AT16" s="78"/>
      <c r="AU16" s="79"/>
      <c r="AV16" s="80"/>
      <c r="AW16" s="80"/>
      <c r="AX16" s="80"/>
      <c r="AY16" s="80"/>
      <c r="AZ16" s="81"/>
      <c r="BA16" s="7"/>
    </row>
    <row r="17" spans="2:53" ht="40.5" customHeight="1">
      <c r="B17" s="4"/>
      <c r="C17" s="85" t="s">
        <v>69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7"/>
      <c r="W17" s="88">
        <v>200</v>
      </c>
      <c r="X17" s="88"/>
      <c r="Y17" s="88"/>
      <c r="Z17" s="88"/>
      <c r="AA17" s="88"/>
      <c r="AB17" s="88"/>
      <c r="AC17" s="89" t="s">
        <v>1</v>
      </c>
      <c r="AD17" s="89"/>
      <c r="AE17" s="89"/>
      <c r="AF17" s="89"/>
      <c r="AG17" s="89"/>
      <c r="AH17" s="89"/>
      <c r="AI17" s="89" t="s">
        <v>1</v>
      </c>
      <c r="AJ17" s="89"/>
      <c r="AK17" s="89"/>
      <c r="AL17" s="89"/>
      <c r="AM17" s="89"/>
      <c r="AN17" s="89"/>
      <c r="AO17" s="89" t="s">
        <v>1</v>
      </c>
      <c r="AP17" s="89"/>
      <c r="AQ17" s="89"/>
      <c r="AR17" s="89"/>
      <c r="AS17" s="89"/>
      <c r="AT17" s="89"/>
      <c r="AU17" s="72">
        <v>270</v>
      </c>
      <c r="AV17" s="72"/>
      <c r="AW17" s="72"/>
      <c r="AX17" s="72"/>
      <c r="AY17" s="72"/>
      <c r="AZ17" s="72"/>
      <c r="BA17" s="7"/>
    </row>
    <row r="18" spans="2:53" ht="12" customHeight="1">
      <c r="B18" s="4"/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8"/>
      <c r="W18" s="79"/>
      <c r="X18" s="80"/>
      <c r="Y18" s="80"/>
      <c r="Z18" s="80"/>
      <c r="AA18" s="80"/>
      <c r="AB18" s="81"/>
      <c r="AC18" s="76"/>
      <c r="AD18" s="77"/>
      <c r="AE18" s="77"/>
      <c r="AF18" s="77"/>
      <c r="AG18" s="77"/>
      <c r="AH18" s="78"/>
      <c r="AI18" s="76"/>
      <c r="AJ18" s="77"/>
      <c r="AK18" s="77"/>
      <c r="AL18" s="77"/>
      <c r="AM18" s="77"/>
      <c r="AN18" s="78"/>
      <c r="AO18" s="76"/>
      <c r="AP18" s="77"/>
      <c r="AQ18" s="77"/>
      <c r="AR18" s="77"/>
      <c r="AS18" s="77"/>
      <c r="AT18" s="78"/>
      <c r="AU18" s="79"/>
      <c r="AV18" s="80"/>
      <c r="AW18" s="80"/>
      <c r="AX18" s="80"/>
      <c r="AY18" s="80"/>
      <c r="AZ18" s="81"/>
      <c r="BA18" s="7"/>
    </row>
    <row r="19" spans="2:53" ht="25.5" customHeight="1">
      <c r="B19" s="4"/>
      <c r="C19" s="85" t="s">
        <v>20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7"/>
      <c r="W19" s="88">
        <v>200</v>
      </c>
      <c r="X19" s="88"/>
      <c r="Y19" s="88"/>
      <c r="Z19" s="88"/>
      <c r="AA19" s="88"/>
      <c r="AB19" s="88"/>
      <c r="AC19" s="89" t="s">
        <v>1</v>
      </c>
      <c r="AD19" s="89"/>
      <c r="AE19" s="89"/>
      <c r="AF19" s="89"/>
      <c r="AG19" s="89"/>
      <c r="AH19" s="89"/>
      <c r="AI19" s="89" t="s">
        <v>1</v>
      </c>
      <c r="AJ19" s="89"/>
      <c r="AK19" s="89"/>
      <c r="AL19" s="89"/>
      <c r="AM19" s="89"/>
      <c r="AN19" s="89"/>
      <c r="AO19" s="89" t="s">
        <v>1</v>
      </c>
      <c r="AP19" s="89"/>
      <c r="AQ19" s="89"/>
      <c r="AR19" s="89"/>
      <c r="AS19" s="89"/>
      <c r="AT19" s="89"/>
      <c r="AU19" s="72">
        <v>270</v>
      </c>
      <c r="AV19" s="72"/>
      <c r="AW19" s="72"/>
      <c r="AX19" s="72"/>
      <c r="AY19" s="72"/>
      <c r="AZ19" s="72"/>
      <c r="BA19" s="7"/>
    </row>
    <row r="20" spans="2:53" ht="12" customHeight="1" hidden="1">
      <c r="B20" s="4"/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8"/>
      <c r="W20" s="76"/>
      <c r="X20" s="77"/>
      <c r="Y20" s="77"/>
      <c r="Z20" s="77"/>
      <c r="AA20" s="77"/>
      <c r="AB20" s="78"/>
      <c r="AC20" s="76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8"/>
      <c r="AU20" s="76"/>
      <c r="AV20" s="77"/>
      <c r="AW20" s="77"/>
      <c r="AX20" s="77"/>
      <c r="AY20" s="77"/>
      <c r="AZ20" s="78"/>
      <c r="BA20" s="7"/>
    </row>
    <row r="21" spans="2:53" ht="12" customHeight="1" hidden="1">
      <c r="B21" s="4"/>
      <c r="C21" s="85" t="s">
        <v>20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7"/>
      <c r="W21" s="118"/>
      <c r="X21" s="118"/>
      <c r="Y21" s="118"/>
      <c r="Z21" s="118"/>
      <c r="AA21" s="118"/>
      <c r="AB21" s="118"/>
      <c r="AC21" s="89" t="s">
        <v>1</v>
      </c>
      <c r="AD21" s="89"/>
      <c r="AE21" s="89"/>
      <c r="AF21" s="89"/>
      <c r="AG21" s="89"/>
      <c r="AH21" s="89"/>
      <c r="AI21" s="89" t="s">
        <v>1</v>
      </c>
      <c r="AJ21" s="89"/>
      <c r="AK21" s="89"/>
      <c r="AL21" s="89"/>
      <c r="AM21" s="89"/>
      <c r="AN21" s="89"/>
      <c r="AO21" s="89" t="s">
        <v>1</v>
      </c>
      <c r="AP21" s="89"/>
      <c r="AQ21" s="89"/>
      <c r="AR21" s="89"/>
      <c r="AS21" s="89"/>
      <c r="AT21" s="89"/>
      <c r="AU21" s="121"/>
      <c r="AV21" s="121"/>
      <c r="AW21" s="121"/>
      <c r="AX21" s="121"/>
      <c r="AY21" s="121"/>
      <c r="AZ21" s="121"/>
      <c r="BA21" s="7"/>
    </row>
    <row r="22" spans="2:53" ht="12" customHeight="1">
      <c r="B22" s="4"/>
      <c r="C22" s="12"/>
      <c r="D22" s="12"/>
      <c r="E22" s="12"/>
      <c r="F22" s="12"/>
      <c r="G22" s="12"/>
      <c r="H22" s="12"/>
      <c r="I22" s="12"/>
      <c r="J22" s="13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3"/>
      <c r="X22" s="13"/>
      <c r="Y22" s="13"/>
      <c r="Z22" s="14"/>
      <c r="AA22" s="14"/>
      <c r="AB22" s="14"/>
      <c r="AC22" s="14"/>
      <c r="AD22" s="14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7"/>
    </row>
    <row r="23" spans="2:53" ht="12" customHeight="1">
      <c r="B23" s="4"/>
      <c r="C23" s="12"/>
      <c r="D23" s="12"/>
      <c r="E23" s="12"/>
      <c r="F23" s="12"/>
      <c r="G23" s="12"/>
      <c r="H23" s="12"/>
      <c r="I23" s="12"/>
      <c r="J23" s="13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3"/>
      <c r="X23" s="13"/>
      <c r="Y23" s="13"/>
      <c r="Z23" s="14"/>
      <c r="AA23" s="14"/>
      <c r="AB23" s="14"/>
      <c r="AC23" s="14"/>
      <c r="AD23" s="14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7"/>
    </row>
    <row r="24" spans="2:53" ht="12" customHeight="1">
      <c r="B24" s="4"/>
      <c r="C24" s="16"/>
      <c r="D24" s="12"/>
      <c r="E24" s="12"/>
      <c r="F24" s="12"/>
      <c r="G24" s="12"/>
      <c r="H24" s="12"/>
      <c r="I24" s="12"/>
      <c r="J24" s="12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2"/>
      <c r="BA24" s="7"/>
    </row>
    <row r="25" spans="2:53" ht="12" customHeight="1" thickBot="1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0"/>
    </row>
    <row r="26" spans="42:44" ht="12" customHeight="1">
      <c r="AP26" s="5"/>
      <c r="AQ26" s="5"/>
      <c r="AR26" s="5"/>
    </row>
    <row r="27" spans="42:44" ht="12" customHeight="1">
      <c r="AP27" s="5"/>
      <c r="AQ27" s="5"/>
      <c r="AR27" s="5"/>
    </row>
    <row r="28" spans="54:71" s="31" customFormat="1" ht="12" customHeight="1"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</row>
    <row r="29" spans="54:71" s="31" customFormat="1" ht="12" customHeight="1"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</row>
    <row r="30" spans="54:71" s="31" customFormat="1" ht="12" customHeight="1"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</row>
    <row r="31" spans="54:71" s="17" customFormat="1" ht="12" customHeight="1"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</row>
    <row r="32" spans="54:71" s="17" customFormat="1" ht="12" customHeight="1"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</row>
    <row r="33" spans="54:71" s="17" customFormat="1" ht="12" customHeight="1"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</row>
    <row r="34" spans="54:71" s="17" customFormat="1" ht="12" customHeight="1"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</row>
    <row r="35" spans="54:71" s="17" customFormat="1" ht="12" customHeight="1"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</row>
    <row r="36" spans="54:71" s="17" customFormat="1" ht="12" customHeight="1"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</row>
    <row r="37" spans="54:71" s="17" customFormat="1" ht="12" customHeight="1"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</row>
    <row r="38" spans="54:71" s="17" customFormat="1" ht="12" customHeight="1" hidden="1"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</row>
    <row r="39" spans="54:71" s="17" customFormat="1" ht="12" customHeight="1" hidden="1"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</row>
    <row r="40" spans="54:71" s="17" customFormat="1" ht="12" customHeight="1" hidden="1"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</row>
    <row r="41" spans="54:71" s="17" customFormat="1" ht="12" customHeight="1" hidden="1"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</row>
    <row r="42" spans="54:71" s="17" customFormat="1" ht="12" customHeight="1" hidden="1"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</row>
    <row r="43" spans="54:71" s="17" customFormat="1" ht="12" customHeight="1" hidden="1"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</row>
    <row r="44" spans="54:71" s="17" customFormat="1" ht="12" customHeight="1" hidden="1"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</row>
    <row r="45" spans="3:71" s="17" customFormat="1" ht="12" customHeight="1" hidden="1">
      <c r="C45" s="17" t="s">
        <v>11</v>
      </c>
      <c r="D45" s="17">
        <f>IF($AC$21="юридическое лицо",IF($AO$21="Высший Хозяйственный Суд",20*$C$59,10*$C$59),5*$C$59)</f>
        <v>135</v>
      </c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</row>
    <row r="46" spans="3:71" s="17" customFormat="1" ht="12" customHeight="1" hidden="1">
      <c r="C46" s="17" t="s">
        <v>12</v>
      </c>
      <c r="D46" s="17">
        <f>$D$45*40%</f>
        <v>54</v>
      </c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</row>
    <row r="47" spans="3:71" s="17" customFormat="1" ht="12" customHeight="1" hidden="1">
      <c r="C47" s="17" t="s">
        <v>13</v>
      </c>
      <c r="D47" s="17">
        <f>$D$45*80%</f>
        <v>108</v>
      </c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</row>
    <row r="48" spans="3:71" s="17" customFormat="1" ht="12" customHeight="1" hidden="1">
      <c r="C48" s="17" t="s">
        <v>14</v>
      </c>
      <c r="D48" s="17">
        <f>IF($AI$21="жалобы о пересмотре",$D$45*80%,0)</f>
        <v>0</v>
      </c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</row>
    <row r="49" spans="3:71" s="17" customFormat="1" ht="12" customHeight="1" hidden="1">
      <c r="C49" s="35" t="s">
        <v>48</v>
      </c>
      <c r="D49" s="17">
        <f>IF($AI$21="жалобы на ответы на обращения",$D$45*80%,0)</f>
        <v>0</v>
      </c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</row>
    <row r="50" spans="54:71" s="17" customFormat="1" ht="12" customHeight="1" hidden="1"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</row>
    <row r="51" spans="3:71" s="17" customFormat="1" ht="12" customHeight="1" hidden="1">
      <c r="C51" s="17" t="s">
        <v>15</v>
      </c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</row>
    <row r="52" spans="3:71" s="17" customFormat="1" ht="12" customHeight="1" hidden="1">
      <c r="C52" s="17" t="s">
        <v>16</v>
      </c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</row>
    <row r="53" spans="54:71" s="17" customFormat="1" ht="12" customHeight="1" hidden="1"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</row>
    <row r="54" spans="54:71" s="17" customFormat="1" ht="12" customHeight="1" hidden="1"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</row>
    <row r="55" spans="3:71" s="17" customFormat="1" ht="12" customHeight="1" hidden="1">
      <c r="C55" s="17" t="s">
        <v>46</v>
      </c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</row>
    <row r="56" spans="3:71" s="17" customFormat="1" ht="12" customHeight="1" hidden="1">
      <c r="C56" s="17" t="s">
        <v>47</v>
      </c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</row>
    <row r="57" spans="54:71" s="17" customFormat="1" ht="12" customHeight="1" hidden="1"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</row>
    <row r="58" spans="54:71" s="17" customFormat="1" ht="12" customHeight="1" hidden="1"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</row>
    <row r="59" spans="3:71" s="17" customFormat="1" ht="12" customHeight="1" hidden="1">
      <c r="C59" s="49">
        <v>27</v>
      </c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</row>
    <row r="60" spans="54:71" s="17" customFormat="1" ht="12" customHeight="1" hidden="1"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</row>
    <row r="61" spans="54:71" s="17" customFormat="1" ht="12" customHeight="1" hidden="1"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</row>
    <row r="62" spans="54:71" s="31" customFormat="1" ht="12" customHeight="1" hidden="1"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</row>
    <row r="63" spans="54:71" s="31" customFormat="1" ht="12" customHeight="1" hidden="1"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</row>
    <row r="64" spans="54:71" s="17" customFormat="1" ht="12" customHeight="1"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</row>
    <row r="65" spans="54:71" s="17" customFormat="1" ht="12" customHeight="1"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</row>
    <row r="66" spans="54:71" s="17" customFormat="1" ht="12" customHeight="1"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</row>
    <row r="67" spans="54:71" s="17" customFormat="1" ht="12" customHeight="1"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</row>
    <row r="68" spans="54:71" s="17" customFormat="1" ht="12" customHeight="1"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</row>
    <row r="69" spans="54:71" s="17" customFormat="1" ht="12" customHeight="1"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</row>
    <row r="70" spans="54:71" s="17" customFormat="1" ht="12" customHeight="1"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</row>
    <row r="71" spans="54:71" s="17" customFormat="1" ht="12" customHeight="1"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</row>
    <row r="72" spans="54:71" s="17" customFormat="1" ht="12" customHeight="1"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</row>
    <row r="73" spans="54:71" s="17" customFormat="1" ht="12" customHeight="1"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</row>
    <row r="74" spans="54:71" s="17" customFormat="1" ht="12" customHeight="1"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</row>
    <row r="97" spans="42:44" ht="12" customHeight="1">
      <c r="AP97" s="5"/>
      <c r="AQ97" s="5"/>
      <c r="AR97" s="5"/>
    </row>
    <row r="98" spans="42:44" ht="12" customHeight="1">
      <c r="AP98" s="5"/>
      <c r="AQ98" s="5"/>
      <c r="AR98" s="5"/>
    </row>
    <row r="99" spans="42:44" ht="12" customHeight="1">
      <c r="AP99" s="5"/>
      <c r="AQ99" s="5"/>
      <c r="AR99" s="5"/>
    </row>
    <row r="100" spans="42:44" ht="12" customHeight="1">
      <c r="AP100" s="5"/>
      <c r="AQ100" s="5"/>
      <c r="AR100" s="5"/>
    </row>
    <row r="101" spans="42:44" ht="12" customHeight="1">
      <c r="AP101" s="5"/>
      <c r="AQ101" s="5"/>
      <c r="AR101" s="5"/>
    </row>
    <row r="102" spans="42:44" ht="12" customHeight="1">
      <c r="AP102" s="5"/>
      <c r="AQ102" s="5"/>
      <c r="AR102" s="5"/>
    </row>
    <row r="103" spans="42:44" ht="12" customHeight="1">
      <c r="AP103" s="5"/>
      <c r="AQ103" s="5"/>
      <c r="AR103" s="5"/>
    </row>
    <row r="104" spans="42:44" ht="12" customHeight="1">
      <c r="AP104" s="5"/>
      <c r="AQ104" s="5"/>
      <c r="AR104" s="5"/>
    </row>
    <row r="105" spans="42:44" ht="12" customHeight="1">
      <c r="AP105" s="5"/>
      <c r="AQ105" s="5"/>
      <c r="AR105" s="5"/>
    </row>
    <row r="106" spans="42:44" ht="12" customHeight="1">
      <c r="AP106" s="5"/>
      <c r="AQ106" s="5"/>
      <c r="AR106" s="5"/>
    </row>
    <row r="107" spans="42:44" ht="12" customHeight="1">
      <c r="AP107" s="5"/>
      <c r="AQ107" s="5"/>
      <c r="AR107" s="5"/>
    </row>
    <row r="108" spans="42:44" ht="12" customHeight="1">
      <c r="AP108" s="5"/>
      <c r="AQ108" s="5"/>
      <c r="AR108" s="5"/>
    </row>
    <row r="109" spans="42:44" ht="12" customHeight="1">
      <c r="AP109" s="5"/>
      <c r="AQ109" s="5"/>
      <c r="AR109" s="5"/>
    </row>
    <row r="110" spans="42:44" ht="12" customHeight="1">
      <c r="AP110" s="5"/>
      <c r="AQ110" s="5"/>
      <c r="AR110" s="5"/>
    </row>
    <row r="111" spans="42:44" ht="12" customHeight="1">
      <c r="AP111" s="5"/>
      <c r="AQ111" s="5"/>
      <c r="AR111" s="5"/>
    </row>
    <row r="112" spans="42:44" ht="12" customHeight="1">
      <c r="AP112" s="5"/>
      <c r="AQ112" s="5"/>
      <c r="AR112" s="5"/>
    </row>
    <row r="113" spans="42:44" ht="12" customHeight="1">
      <c r="AP113" s="5"/>
      <c r="AQ113" s="5"/>
      <c r="AR113" s="5"/>
    </row>
    <row r="114" spans="42:44" ht="12" customHeight="1">
      <c r="AP114" s="5"/>
      <c r="AQ114" s="5"/>
      <c r="AR114" s="5"/>
    </row>
    <row r="115" spans="42:44" ht="12" customHeight="1">
      <c r="AP115" s="5"/>
      <c r="AQ115" s="5"/>
      <c r="AR115" s="5"/>
    </row>
    <row r="116" spans="42:44" ht="12" customHeight="1">
      <c r="AP116" s="5"/>
      <c r="AQ116" s="5"/>
      <c r="AR116" s="5"/>
    </row>
    <row r="117" spans="42:44" ht="12" customHeight="1">
      <c r="AP117" s="5"/>
      <c r="AQ117" s="5"/>
      <c r="AR117" s="5"/>
    </row>
    <row r="118" spans="42:44" ht="12" customHeight="1">
      <c r="AP118" s="5"/>
      <c r="AQ118" s="5"/>
      <c r="AR118" s="5"/>
    </row>
    <row r="119" spans="42:44" ht="12" customHeight="1">
      <c r="AP119" s="5"/>
      <c r="AQ119" s="5"/>
      <c r="AR119" s="5"/>
    </row>
    <row r="120" spans="42:44" ht="12" customHeight="1">
      <c r="AP120" s="5"/>
      <c r="AQ120" s="5"/>
      <c r="AR120" s="5"/>
    </row>
    <row r="121" spans="42:44" ht="12" customHeight="1">
      <c r="AP121" s="5"/>
      <c r="AQ121" s="5"/>
      <c r="AR121" s="5"/>
    </row>
    <row r="122" spans="42:44" ht="12" customHeight="1">
      <c r="AP122" s="5"/>
      <c r="AQ122" s="5"/>
      <c r="AR122" s="5"/>
    </row>
    <row r="123" spans="42:44" ht="12" customHeight="1">
      <c r="AP123" s="5"/>
      <c r="AQ123" s="5"/>
      <c r="AR123" s="5"/>
    </row>
    <row r="124" spans="42:44" ht="12" customHeight="1">
      <c r="AP124" s="5"/>
      <c r="AQ124" s="5"/>
      <c r="AR124" s="5"/>
    </row>
    <row r="125" spans="42:44" ht="12" customHeight="1">
      <c r="AP125" s="5"/>
      <c r="AQ125" s="5"/>
      <c r="AR125" s="5"/>
    </row>
    <row r="126" spans="42:44" ht="12" customHeight="1">
      <c r="AP126" s="5"/>
      <c r="AQ126" s="5"/>
      <c r="AR126" s="5"/>
    </row>
    <row r="127" spans="42:44" ht="12" customHeight="1">
      <c r="AP127" s="5"/>
      <c r="AQ127" s="5"/>
      <c r="AR127" s="5"/>
    </row>
    <row r="128" spans="42:44" ht="12" customHeight="1">
      <c r="AP128" s="5"/>
      <c r="AQ128" s="5"/>
      <c r="AR128" s="5"/>
    </row>
    <row r="129" spans="42:44" ht="12" customHeight="1">
      <c r="AP129" s="5"/>
      <c r="AQ129" s="5"/>
      <c r="AR129" s="5"/>
    </row>
    <row r="130" spans="42:44" ht="12" customHeight="1">
      <c r="AP130" s="5"/>
      <c r="AQ130" s="5"/>
      <c r="AR130" s="5"/>
    </row>
    <row r="131" spans="42:44" ht="12" customHeight="1">
      <c r="AP131" s="5"/>
      <c r="AQ131" s="5"/>
      <c r="AR131" s="5"/>
    </row>
    <row r="132" spans="42:44" ht="12" customHeight="1">
      <c r="AP132" s="5"/>
      <c r="AQ132" s="5"/>
      <c r="AR132" s="5"/>
    </row>
    <row r="133" spans="42:44" ht="12" customHeight="1">
      <c r="AP133" s="5"/>
      <c r="AQ133" s="5"/>
      <c r="AR133" s="5"/>
    </row>
    <row r="134" spans="42:44" ht="12" customHeight="1">
      <c r="AP134" s="5"/>
      <c r="AQ134" s="5"/>
      <c r="AR134" s="5"/>
    </row>
    <row r="135" spans="42:44" ht="12" customHeight="1">
      <c r="AP135" s="5"/>
      <c r="AQ135" s="5"/>
      <c r="AR135" s="5"/>
    </row>
    <row r="136" spans="42:44" ht="12" customHeight="1">
      <c r="AP136" s="5"/>
      <c r="AQ136" s="5"/>
      <c r="AR136" s="5"/>
    </row>
    <row r="137" spans="42:44" ht="12" customHeight="1">
      <c r="AP137" s="5"/>
      <c r="AQ137" s="5"/>
      <c r="AR137" s="5"/>
    </row>
    <row r="138" spans="42:44" ht="12" customHeight="1">
      <c r="AP138" s="5"/>
      <c r="AQ138" s="5"/>
      <c r="AR138" s="5"/>
    </row>
    <row r="139" spans="42:44" ht="12" customHeight="1">
      <c r="AP139" s="5"/>
      <c r="AQ139" s="5"/>
      <c r="AR139" s="5"/>
    </row>
  </sheetData>
  <sheetProtection/>
  <mergeCells count="81">
    <mergeCell ref="AC20:AH20"/>
    <mergeCell ref="AI20:AN20"/>
    <mergeCell ref="AO20:AT20"/>
    <mergeCell ref="AU20:AZ20"/>
    <mergeCell ref="AO19:AT19"/>
    <mergeCell ref="AU19:AZ19"/>
    <mergeCell ref="AO21:AT21"/>
    <mergeCell ref="AU21:AZ21"/>
    <mergeCell ref="C16:V16"/>
    <mergeCell ref="W16:AB16"/>
    <mergeCell ref="AC16:AH16"/>
    <mergeCell ref="AI16:AN16"/>
    <mergeCell ref="AO16:AT16"/>
    <mergeCell ref="AU16:AZ16"/>
    <mergeCell ref="C18:V18"/>
    <mergeCell ref="W18:AB18"/>
    <mergeCell ref="AO17:AT17"/>
    <mergeCell ref="AU17:AZ17"/>
    <mergeCell ref="C19:V19"/>
    <mergeCell ref="W19:AB19"/>
    <mergeCell ref="AC19:AH19"/>
    <mergeCell ref="AI19:AN19"/>
    <mergeCell ref="AO18:AT18"/>
    <mergeCell ref="AU18:AZ18"/>
    <mergeCell ref="AC18:AH18"/>
    <mergeCell ref="AI18:AN18"/>
    <mergeCell ref="C17:V17"/>
    <mergeCell ref="W17:AB17"/>
    <mergeCell ref="AC17:AH17"/>
    <mergeCell ref="AI17:AN17"/>
    <mergeCell ref="C21:V21"/>
    <mergeCell ref="W21:AB21"/>
    <mergeCell ref="AC21:AH21"/>
    <mergeCell ref="AI21:AN21"/>
    <mergeCell ref="C20:V20"/>
    <mergeCell ref="W20:AB20"/>
    <mergeCell ref="AO14:AT14"/>
    <mergeCell ref="AU14:AZ14"/>
    <mergeCell ref="C14:V14"/>
    <mergeCell ref="W14:AB14"/>
    <mergeCell ref="AC14:AH14"/>
    <mergeCell ref="AI14:AN14"/>
    <mergeCell ref="AO15:AT15"/>
    <mergeCell ref="AU15:AZ15"/>
    <mergeCell ref="C15:V15"/>
    <mergeCell ref="W15:AB15"/>
    <mergeCell ref="AC15:AH15"/>
    <mergeCell ref="AI15:AN15"/>
    <mergeCell ref="C13:V13"/>
    <mergeCell ref="W13:AB13"/>
    <mergeCell ref="AC13:AH13"/>
    <mergeCell ref="C12:V12"/>
    <mergeCell ref="W12:AB12"/>
    <mergeCell ref="AC12:AH12"/>
    <mergeCell ref="B1:BA1"/>
    <mergeCell ref="BM4:BU4"/>
    <mergeCell ref="AU5:AZ9"/>
    <mergeCell ref="AO5:AT9"/>
    <mergeCell ref="AI5:AN9"/>
    <mergeCell ref="C5:V9"/>
    <mergeCell ref="AC5:AH9"/>
    <mergeCell ref="W5:AB9"/>
    <mergeCell ref="AU13:AZ13"/>
    <mergeCell ref="AU12:AZ12"/>
    <mergeCell ref="AI11:AN11"/>
    <mergeCell ref="AO11:AT11"/>
    <mergeCell ref="AU11:AZ11"/>
    <mergeCell ref="AI13:AN13"/>
    <mergeCell ref="AO13:AT13"/>
    <mergeCell ref="AI12:AN12"/>
    <mergeCell ref="AO12:AT12"/>
    <mergeCell ref="C10:V10"/>
    <mergeCell ref="W11:AB11"/>
    <mergeCell ref="W10:AB10"/>
    <mergeCell ref="C11:V11"/>
    <mergeCell ref="BC11:BE11"/>
    <mergeCell ref="AC10:AH10"/>
    <mergeCell ref="AI10:AN10"/>
    <mergeCell ref="AO10:AT10"/>
    <mergeCell ref="AU10:AZ10"/>
    <mergeCell ref="AC11:AH11"/>
  </mergeCells>
  <dataValidations count="1">
    <dataValidation type="list" allowBlank="1" showInputMessage="1" showErrorMessage="1" sqref="AO15:AT15">
      <formula1>$C$55:$C$56</formula1>
    </dataValidation>
  </dataValidation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24" min="2" max="5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B1:BI59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40" width="2.375" style="1" customWidth="1"/>
    <col min="41" max="42" width="2.75390625" style="1" customWidth="1"/>
    <col min="43" max="45" width="2.75390625" style="17" customWidth="1"/>
    <col min="46" max="46" width="6.875" style="17" bestFit="1" customWidth="1"/>
    <col min="47" max="47" width="2.75390625" style="17" customWidth="1"/>
    <col min="48" max="48" width="6.625" style="17" bestFit="1" customWidth="1"/>
    <col min="49" max="55" width="2.75390625" style="17" customWidth="1"/>
    <col min="56" max="16384" width="2.75390625" style="1" customWidth="1"/>
  </cols>
  <sheetData>
    <row r="1" spans="2:54" ht="16.5" customHeight="1" thickBot="1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</row>
    <row r="2" spans="2:41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6"/>
    </row>
    <row r="3" spans="2:61" ht="12" customHeight="1">
      <c r="B3" s="4"/>
      <c r="C3" s="11"/>
      <c r="D3" s="11"/>
      <c r="E3" s="11"/>
      <c r="F3" s="11"/>
      <c r="G3" s="11"/>
      <c r="H3" s="11"/>
      <c r="I3" s="11"/>
      <c r="J3" s="12"/>
      <c r="K3" s="1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2"/>
      <c r="AJ3" s="11"/>
      <c r="AK3" s="11"/>
      <c r="AL3" s="11"/>
      <c r="AM3" s="11"/>
      <c r="AN3" s="11"/>
      <c r="AO3" s="7"/>
      <c r="AY3" s="33"/>
      <c r="AZ3" s="33"/>
      <c r="BA3" s="33"/>
      <c r="BB3" s="33"/>
      <c r="BC3" s="33"/>
      <c r="BD3" s="5"/>
      <c r="BE3" s="5"/>
      <c r="BF3" s="5"/>
      <c r="BG3" s="5"/>
      <c r="BH3" s="5"/>
      <c r="BI3" s="5"/>
    </row>
    <row r="4" spans="2:61" ht="12" customHeight="1">
      <c r="B4" s="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7"/>
      <c r="AY4" s="33"/>
      <c r="AZ4" s="33"/>
      <c r="BA4" s="120"/>
      <c r="BB4" s="120"/>
      <c r="BC4" s="120"/>
      <c r="BD4" s="120"/>
      <c r="BE4" s="120"/>
      <c r="BF4" s="120"/>
      <c r="BG4" s="120"/>
      <c r="BH4" s="120"/>
      <c r="BI4" s="120"/>
    </row>
    <row r="5" spans="2:41" ht="12" customHeight="1">
      <c r="B5" s="4"/>
      <c r="C5" s="97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  <c r="W5" s="97" t="s">
        <v>21</v>
      </c>
      <c r="X5" s="98"/>
      <c r="Y5" s="98"/>
      <c r="Z5" s="98"/>
      <c r="AA5" s="98"/>
      <c r="AB5" s="99"/>
      <c r="AC5" s="97" t="s">
        <v>22</v>
      </c>
      <c r="AD5" s="98"/>
      <c r="AE5" s="98"/>
      <c r="AF5" s="98"/>
      <c r="AG5" s="98"/>
      <c r="AH5" s="99"/>
      <c r="AI5" s="97" t="s">
        <v>8</v>
      </c>
      <c r="AJ5" s="106"/>
      <c r="AK5" s="106"/>
      <c r="AL5" s="106"/>
      <c r="AM5" s="106"/>
      <c r="AN5" s="107"/>
      <c r="AO5" s="7"/>
    </row>
    <row r="6" spans="2:41" ht="12" customHeight="1">
      <c r="B6" s="4"/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/>
      <c r="W6" s="100"/>
      <c r="X6" s="101"/>
      <c r="Y6" s="101"/>
      <c r="Z6" s="101"/>
      <c r="AA6" s="101"/>
      <c r="AB6" s="102"/>
      <c r="AC6" s="100"/>
      <c r="AD6" s="101"/>
      <c r="AE6" s="101"/>
      <c r="AF6" s="101"/>
      <c r="AG6" s="101"/>
      <c r="AH6" s="102"/>
      <c r="AI6" s="108"/>
      <c r="AJ6" s="109"/>
      <c r="AK6" s="109"/>
      <c r="AL6" s="109"/>
      <c r="AM6" s="109"/>
      <c r="AN6" s="110"/>
      <c r="AO6" s="7"/>
    </row>
    <row r="7" spans="2:41" ht="12" customHeight="1">
      <c r="B7" s="4"/>
      <c r="C7" s="100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2"/>
      <c r="W7" s="100"/>
      <c r="X7" s="101"/>
      <c r="Y7" s="101"/>
      <c r="Z7" s="101"/>
      <c r="AA7" s="101"/>
      <c r="AB7" s="102"/>
      <c r="AC7" s="100"/>
      <c r="AD7" s="101"/>
      <c r="AE7" s="101"/>
      <c r="AF7" s="101"/>
      <c r="AG7" s="101"/>
      <c r="AH7" s="102"/>
      <c r="AI7" s="108"/>
      <c r="AJ7" s="109"/>
      <c r="AK7" s="109"/>
      <c r="AL7" s="109"/>
      <c r="AM7" s="109"/>
      <c r="AN7" s="110"/>
      <c r="AO7" s="7"/>
    </row>
    <row r="8" spans="2:41" ht="12" customHeight="1">
      <c r="B8" s="4"/>
      <c r="C8" s="103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5"/>
      <c r="W8" s="103"/>
      <c r="X8" s="104"/>
      <c r="Y8" s="104"/>
      <c r="Z8" s="104"/>
      <c r="AA8" s="104"/>
      <c r="AB8" s="105"/>
      <c r="AC8" s="103"/>
      <c r="AD8" s="104"/>
      <c r="AE8" s="104"/>
      <c r="AF8" s="104"/>
      <c r="AG8" s="104"/>
      <c r="AH8" s="105"/>
      <c r="AI8" s="111"/>
      <c r="AJ8" s="112"/>
      <c r="AK8" s="112"/>
      <c r="AL8" s="112"/>
      <c r="AM8" s="112"/>
      <c r="AN8" s="113"/>
      <c r="AO8" s="7"/>
    </row>
    <row r="9" spans="2:41" ht="12" customHeight="1">
      <c r="B9" s="4"/>
      <c r="C9" s="76">
        <v>1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8"/>
      <c r="W9" s="76">
        <v>2</v>
      </c>
      <c r="X9" s="77"/>
      <c r="Y9" s="77"/>
      <c r="Z9" s="77"/>
      <c r="AA9" s="77"/>
      <c r="AB9" s="78"/>
      <c r="AC9" s="76">
        <v>3</v>
      </c>
      <c r="AD9" s="77"/>
      <c r="AE9" s="77"/>
      <c r="AF9" s="77"/>
      <c r="AG9" s="77"/>
      <c r="AH9" s="78"/>
      <c r="AI9" s="76">
        <v>6</v>
      </c>
      <c r="AJ9" s="77"/>
      <c r="AK9" s="77"/>
      <c r="AL9" s="77"/>
      <c r="AM9" s="77"/>
      <c r="AN9" s="78"/>
      <c r="AO9" s="7"/>
    </row>
    <row r="10" spans="2:45" ht="35.25" customHeight="1">
      <c r="B10" s="4"/>
      <c r="C10" s="85" t="s">
        <v>23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7"/>
      <c r="W10" s="88">
        <v>2560</v>
      </c>
      <c r="X10" s="88"/>
      <c r="Y10" s="88"/>
      <c r="Z10" s="88"/>
      <c r="AA10" s="88"/>
      <c r="AB10" s="88"/>
      <c r="AC10" s="122" t="s">
        <v>25</v>
      </c>
      <c r="AD10" s="122"/>
      <c r="AE10" s="122"/>
      <c r="AF10" s="122"/>
      <c r="AG10" s="122"/>
      <c r="AH10" s="122"/>
      <c r="AI10" s="72">
        <f>IF(W10=0,0,IF(W10&lt;10*C59,0.5*C59,IF(AND(W10&gt;=10*C59,W10&lt;=100*C59),2*C59,IF(W10&gt;100*C59,3*C59,0))))</f>
        <v>54</v>
      </c>
      <c r="AJ10" s="72"/>
      <c r="AK10" s="72"/>
      <c r="AL10" s="72"/>
      <c r="AM10" s="72"/>
      <c r="AN10" s="72"/>
      <c r="AO10" s="7"/>
      <c r="AQ10" s="127"/>
      <c r="AR10" s="127"/>
      <c r="AS10" s="127"/>
    </row>
    <row r="11" spans="2:41" ht="12" customHeight="1">
      <c r="B11" s="4"/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/>
      <c r="W11" s="79"/>
      <c r="X11" s="80"/>
      <c r="Y11" s="80"/>
      <c r="Z11" s="80"/>
      <c r="AA11" s="80"/>
      <c r="AB11" s="81"/>
      <c r="AC11" s="76"/>
      <c r="AD11" s="77"/>
      <c r="AE11" s="77"/>
      <c r="AF11" s="77"/>
      <c r="AG11" s="77"/>
      <c r="AH11" s="78"/>
      <c r="AI11" s="79"/>
      <c r="AJ11" s="80"/>
      <c r="AK11" s="80"/>
      <c r="AL11" s="80"/>
      <c r="AM11" s="80"/>
      <c r="AN11" s="81"/>
      <c r="AO11" s="7"/>
    </row>
    <row r="12" spans="2:41" ht="24.75" customHeight="1">
      <c r="B12" s="4"/>
      <c r="C12" s="85" t="s">
        <v>23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7"/>
      <c r="W12" s="88">
        <v>300</v>
      </c>
      <c r="X12" s="88"/>
      <c r="Y12" s="88"/>
      <c r="Z12" s="88"/>
      <c r="AA12" s="88"/>
      <c r="AB12" s="88"/>
      <c r="AC12" s="122" t="s">
        <v>26</v>
      </c>
      <c r="AD12" s="122"/>
      <c r="AE12" s="122"/>
      <c r="AF12" s="122"/>
      <c r="AG12" s="122"/>
      <c r="AH12" s="122"/>
      <c r="AI12" s="72">
        <v>27</v>
      </c>
      <c r="AJ12" s="72"/>
      <c r="AK12" s="72"/>
      <c r="AL12" s="72"/>
      <c r="AM12" s="72"/>
      <c r="AN12" s="72"/>
      <c r="AO12" s="7"/>
    </row>
    <row r="13" spans="2:41" ht="12" customHeight="1">
      <c r="B13" s="4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8"/>
      <c r="W13" s="79"/>
      <c r="X13" s="80"/>
      <c r="Y13" s="80"/>
      <c r="Z13" s="80"/>
      <c r="AA13" s="80"/>
      <c r="AB13" s="81"/>
      <c r="AC13" s="76"/>
      <c r="AD13" s="77"/>
      <c r="AE13" s="77"/>
      <c r="AF13" s="77"/>
      <c r="AG13" s="77"/>
      <c r="AH13" s="78"/>
      <c r="AI13" s="79"/>
      <c r="AJ13" s="80"/>
      <c r="AK13" s="80"/>
      <c r="AL13" s="80"/>
      <c r="AM13" s="80"/>
      <c r="AN13" s="81"/>
      <c r="AO13" s="7"/>
    </row>
    <row r="14" spans="2:41" ht="46.5" customHeight="1">
      <c r="B14" s="4"/>
      <c r="C14" s="85" t="s">
        <v>23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7"/>
      <c r="W14" s="88">
        <v>450</v>
      </c>
      <c r="X14" s="88"/>
      <c r="Y14" s="88"/>
      <c r="Z14" s="88"/>
      <c r="AA14" s="88"/>
      <c r="AB14" s="88"/>
      <c r="AC14" s="123" t="s">
        <v>53</v>
      </c>
      <c r="AD14" s="124"/>
      <c r="AE14" s="124"/>
      <c r="AF14" s="124"/>
      <c r="AG14" s="124"/>
      <c r="AH14" s="125"/>
      <c r="AI14" s="72">
        <v>27</v>
      </c>
      <c r="AJ14" s="72"/>
      <c r="AK14" s="72"/>
      <c r="AL14" s="72"/>
      <c r="AM14" s="72"/>
      <c r="AN14" s="72"/>
      <c r="AO14" s="7"/>
    </row>
    <row r="15" spans="2:41" ht="12" customHeight="1">
      <c r="B15" s="4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9"/>
      <c r="X15" s="80"/>
      <c r="Y15" s="80"/>
      <c r="Z15" s="80"/>
      <c r="AA15" s="80"/>
      <c r="AB15" s="81"/>
      <c r="AC15" s="76"/>
      <c r="AD15" s="77"/>
      <c r="AE15" s="77"/>
      <c r="AF15" s="77"/>
      <c r="AG15" s="77"/>
      <c r="AH15" s="78"/>
      <c r="AI15" s="79"/>
      <c r="AJ15" s="80"/>
      <c r="AK15" s="80"/>
      <c r="AL15" s="80"/>
      <c r="AM15" s="80"/>
      <c r="AN15" s="81"/>
      <c r="AO15" s="7"/>
    </row>
    <row r="16" spans="2:41" ht="31.5" customHeight="1">
      <c r="B16" s="4"/>
      <c r="C16" s="85" t="s">
        <v>24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  <c r="W16" s="88">
        <v>120</v>
      </c>
      <c r="X16" s="88"/>
      <c r="Y16" s="88"/>
      <c r="Z16" s="88"/>
      <c r="AA16" s="88"/>
      <c r="AB16" s="88"/>
      <c r="AC16" s="89" t="s">
        <v>1</v>
      </c>
      <c r="AD16" s="89"/>
      <c r="AE16" s="89"/>
      <c r="AF16" s="89"/>
      <c r="AG16" s="89"/>
      <c r="AH16" s="89"/>
      <c r="AI16" s="72">
        <v>270</v>
      </c>
      <c r="AJ16" s="72"/>
      <c r="AK16" s="72"/>
      <c r="AL16" s="72"/>
      <c r="AM16" s="72"/>
      <c r="AN16" s="72"/>
      <c r="AO16" s="7"/>
    </row>
    <row r="17" spans="2:41" ht="12" customHeight="1">
      <c r="B17" s="4"/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79"/>
      <c r="X17" s="80"/>
      <c r="Y17" s="80"/>
      <c r="Z17" s="80"/>
      <c r="AA17" s="80"/>
      <c r="AB17" s="81"/>
      <c r="AC17" s="76"/>
      <c r="AD17" s="77"/>
      <c r="AE17" s="77"/>
      <c r="AF17" s="77"/>
      <c r="AG17" s="77"/>
      <c r="AH17" s="78"/>
      <c r="AI17" s="79"/>
      <c r="AJ17" s="80"/>
      <c r="AK17" s="80"/>
      <c r="AL17" s="80"/>
      <c r="AM17" s="80"/>
      <c r="AN17" s="81"/>
      <c r="AO17" s="7"/>
    </row>
    <row r="18" spans="2:41" ht="28.5" customHeight="1">
      <c r="B18" s="4"/>
      <c r="C18" s="85" t="s">
        <v>51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7"/>
      <c r="W18" s="88">
        <v>130</v>
      </c>
      <c r="X18" s="88"/>
      <c r="Y18" s="88"/>
      <c r="Z18" s="88"/>
      <c r="AA18" s="88"/>
      <c r="AB18" s="88"/>
      <c r="AC18" s="89" t="s">
        <v>1</v>
      </c>
      <c r="AD18" s="89"/>
      <c r="AE18" s="89"/>
      <c r="AF18" s="89"/>
      <c r="AG18" s="89"/>
      <c r="AH18" s="89"/>
      <c r="AI18" s="72">
        <f>C59/2</f>
        <v>13.5</v>
      </c>
      <c r="AJ18" s="72"/>
      <c r="AK18" s="72"/>
      <c r="AL18" s="72"/>
      <c r="AM18" s="72"/>
      <c r="AN18" s="72"/>
      <c r="AO18" s="7"/>
    </row>
    <row r="19" spans="2:41" ht="12" customHeight="1">
      <c r="B19" s="4"/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8"/>
      <c r="W19" s="76"/>
      <c r="X19" s="77"/>
      <c r="Y19" s="77"/>
      <c r="Z19" s="77"/>
      <c r="AA19" s="77"/>
      <c r="AB19" s="78"/>
      <c r="AC19" s="76"/>
      <c r="AD19" s="77"/>
      <c r="AE19" s="77"/>
      <c r="AF19" s="77"/>
      <c r="AG19" s="77"/>
      <c r="AH19" s="78"/>
      <c r="AI19" s="76"/>
      <c r="AJ19" s="77"/>
      <c r="AK19" s="77"/>
      <c r="AL19" s="77"/>
      <c r="AM19" s="77"/>
      <c r="AN19" s="78"/>
      <c r="AO19" s="7"/>
    </row>
    <row r="20" spans="2:41" ht="12" customHeight="1">
      <c r="B20" s="4"/>
      <c r="C20" s="16"/>
      <c r="D20" s="12"/>
      <c r="E20" s="12"/>
      <c r="F20" s="12"/>
      <c r="G20" s="12"/>
      <c r="H20" s="12"/>
      <c r="I20" s="12"/>
      <c r="J20" s="12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2"/>
      <c r="AO20" s="7"/>
    </row>
    <row r="21" spans="2:41" ht="12" customHeight="1" thickBo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0"/>
    </row>
    <row r="23" s="17" customFormat="1" ht="12" customHeight="1" hidden="1">
      <c r="B23" s="17">
        <f>IF(AC10="В виде штрафа",1,2)</f>
        <v>1</v>
      </c>
    </row>
    <row r="24" spans="2:3" s="17" customFormat="1" ht="12" customHeight="1" hidden="1">
      <c r="B24" s="17">
        <v>1</v>
      </c>
      <c r="C24" s="17" t="s">
        <v>42</v>
      </c>
    </row>
    <row r="25" spans="2:3" s="17" customFormat="1" ht="12" customHeight="1" hidden="1">
      <c r="B25" s="17">
        <v>2</v>
      </c>
      <c r="C25" s="17" t="s">
        <v>43</v>
      </c>
    </row>
    <row r="26" s="17" customFormat="1" ht="12" customHeight="1" hidden="1"/>
    <row r="27" s="17" customFormat="1" ht="12" customHeight="1" hidden="1"/>
    <row r="28" s="17" customFormat="1" ht="12" customHeight="1" hidden="1"/>
    <row r="29" s="17" customFormat="1" ht="12" customHeight="1" hidden="1"/>
    <row r="30" s="17" customFormat="1" ht="12" customHeight="1" hidden="1"/>
    <row r="31" s="17" customFormat="1" ht="12" customHeight="1" hidden="1"/>
    <row r="32" s="17" customFormat="1" ht="12" customHeight="1" hidden="1"/>
    <row r="33" s="17" customFormat="1" ht="12" customHeight="1" hidden="1"/>
    <row r="34" s="17" customFormat="1" ht="12" customHeight="1" hidden="1"/>
    <row r="35" s="17" customFormat="1" ht="12" customHeight="1" hidden="1"/>
    <row r="36" s="17" customFormat="1" ht="12" customHeight="1" hidden="1"/>
    <row r="37" s="17" customFormat="1" ht="12" customHeight="1" hidden="1">
      <c r="C37" s="36" t="s">
        <v>52</v>
      </c>
    </row>
    <row r="38" s="17" customFormat="1" ht="12" customHeight="1" hidden="1">
      <c r="C38" s="36" t="s">
        <v>53</v>
      </c>
    </row>
    <row r="39" s="17" customFormat="1" ht="12" customHeight="1" hidden="1">
      <c r="C39" s="36"/>
    </row>
    <row r="40" s="17" customFormat="1" ht="12" customHeight="1" hidden="1">
      <c r="C40" s="36"/>
    </row>
    <row r="41" s="17" customFormat="1" ht="12" customHeight="1" hidden="1">
      <c r="C41" s="17" t="s">
        <v>11</v>
      </c>
    </row>
    <row r="42" s="17" customFormat="1" ht="12" customHeight="1" hidden="1">
      <c r="C42" s="17" t="s">
        <v>12</v>
      </c>
    </row>
    <row r="43" s="17" customFormat="1" ht="12" customHeight="1" hidden="1">
      <c r="C43" s="17" t="s">
        <v>13</v>
      </c>
    </row>
    <row r="44" s="17" customFormat="1" ht="12" customHeight="1" hidden="1">
      <c r="C44" s="17" t="s">
        <v>14</v>
      </c>
    </row>
    <row r="45" s="17" customFormat="1" ht="12" customHeight="1" hidden="1"/>
    <row r="46" s="17" customFormat="1" ht="12" customHeight="1" hidden="1"/>
    <row r="47" s="17" customFormat="1" ht="12" customHeight="1" hidden="1">
      <c r="C47" s="17" t="s">
        <v>15</v>
      </c>
    </row>
    <row r="48" s="17" customFormat="1" ht="12" customHeight="1" hidden="1">
      <c r="C48" s="17" t="s">
        <v>16</v>
      </c>
    </row>
    <row r="49" s="17" customFormat="1" ht="12" customHeight="1" hidden="1"/>
    <row r="50" s="17" customFormat="1" ht="12" customHeight="1" hidden="1"/>
    <row r="51" s="17" customFormat="1" ht="12" customHeight="1" hidden="1">
      <c r="C51" s="17" t="s">
        <v>17</v>
      </c>
    </row>
    <row r="52" s="17" customFormat="1" ht="12" customHeight="1" hidden="1">
      <c r="C52" s="17" t="s">
        <v>18</v>
      </c>
    </row>
    <row r="53" s="17" customFormat="1" ht="12" customHeight="1" hidden="1"/>
    <row r="54" s="17" customFormat="1" ht="12" customHeight="1" hidden="1"/>
    <row r="55" s="17" customFormat="1" ht="12" customHeight="1" hidden="1">
      <c r="C55" s="17" t="s">
        <v>25</v>
      </c>
    </row>
    <row r="56" s="17" customFormat="1" ht="12" customHeight="1" hidden="1">
      <c r="C56" s="17" t="s">
        <v>26</v>
      </c>
    </row>
    <row r="57" s="17" customFormat="1" ht="12" customHeight="1" hidden="1"/>
    <row r="58" s="17" customFormat="1" ht="12" customHeight="1" hidden="1"/>
    <row r="59" s="17" customFormat="1" ht="12" customHeight="1" hidden="1">
      <c r="C59" s="44">
        <v>27</v>
      </c>
    </row>
    <row r="60" s="17" customFormat="1" ht="12" customHeight="1"/>
    <row r="61" s="17" customFormat="1" ht="12" customHeight="1"/>
    <row r="62" s="17" customFormat="1" ht="12" customHeight="1"/>
    <row r="63" s="17" customFormat="1" ht="12" customHeight="1"/>
    <row r="64" s="17" customFormat="1" ht="12" customHeight="1"/>
    <row r="65" s="17" customFormat="1" ht="12" customHeight="1"/>
    <row r="66" s="17" customFormat="1" ht="12" customHeight="1"/>
    <row r="67" s="17" customFormat="1" ht="12" customHeight="1"/>
    <row r="68" s="17" customFormat="1" ht="12" customHeight="1"/>
    <row r="69" s="17" customFormat="1" ht="12" customHeight="1"/>
    <row r="70" s="17" customFormat="1" ht="12" customHeight="1"/>
    <row r="71" s="17" customFormat="1" ht="12" customHeight="1"/>
    <row r="72" s="17" customFormat="1" ht="12" customHeight="1"/>
  </sheetData>
  <sheetProtection/>
  <mergeCells count="51">
    <mergeCell ref="BA4:BI4"/>
    <mergeCell ref="AI5:AN8"/>
    <mergeCell ref="AQ10:AS10"/>
    <mergeCell ref="AC9:AH9"/>
    <mergeCell ref="AI9:AN9"/>
    <mergeCell ref="AC10:AH10"/>
    <mergeCell ref="AC11:AH11"/>
    <mergeCell ref="C5:V8"/>
    <mergeCell ref="AC5:AH8"/>
    <mergeCell ref="W5:AB8"/>
    <mergeCell ref="AI11:AN11"/>
    <mergeCell ref="AI10:AN10"/>
    <mergeCell ref="C9:V9"/>
    <mergeCell ref="W10:AB10"/>
    <mergeCell ref="W9:AB9"/>
    <mergeCell ref="C10:V10"/>
    <mergeCell ref="C18:V18"/>
    <mergeCell ref="W18:AB18"/>
    <mergeCell ref="AC18:AH18"/>
    <mergeCell ref="AI18:AN18"/>
    <mergeCell ref="B1:BB1"/>
    <mergeCell ref="C16:V16"/>
    <mergeCell ref="W16:AB16"/>
    <mergeCell ref="AC16:AH16"/>
    <mergeCell ref="C11:V11"/>
    <mergeCell ref="W11:AB11"/>
    <mergeCell ref="AI17:AN17"/>
    <mergeCell ref="C17:V17"/>
    <mergeCell ref="W17:AB17"/>
    <mergeCell ref="AC17:AH17"/>
    <mergeCell ref="AI16:AN16"/>
    <mergeCell ref="AC15:AH15"/>
    <mergeCell ref="AI15:AN15"/>
    <mergeCell ref="C19:V19"/>
    <mergeCell ref="W19:AB19"/>
    <mergeCell ref="AC19:AH19"/>
    <mergeCell ref="AI19:AN19"/>
    <mergeCell ref="C14:V14"/>
    <mergeCell ref="W14:AB14"/>
    <mergeCell ref="AC14:AH14"/>
    <mergeCell ref="AI14:AN14"/>
    <mergeCell ref="C15:V15"/>
    <mergeCell ref="W15:AB15"/>
    <mergeCell ref="C13:V13"/>
    <mergeCell ref="W13:AB13"/>
    <mergeCell ref="AC13:AH13"/>
    <mergeCell ref="AI13:AN13"/>
    <mergeCell ref="C12:V12"/>
    <mergeCell ref="W12:AB12"/>
    <mergeCell ref="AC12:AH12"/>
    <mergeCell ref="AI12:AN12"/>
  </mergeCells>
  <dataValidations count="1">
    <dataValidation type="list" allowBlank="1" showInputMessage="1" showErrorMessage="1" sqref="AC14:AH14">
      <formula1>$C$37:$C$38</formula1>
    </dataValidation>
  </dataValidation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20" min="2" max="5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B1:AW51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8" width="2.375" style="1" customWidth="1"/>
    <col min="29" max="16384" width="2.75390625" style="1" customWidth="1"/>
  </cols>
  <sheetData>
    <row r="1" spans="2:42" ht="16.5" customHeight="1" thickBo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2:29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6"/>
    </row>
    <row r="3" spans="2:49" ht="12" customHeight="1"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7"/>
      <c r="AM3" s="5"/>
      <c r="AN3" s="5"/>
      <c r="AO3" s="120"/>
      <c r="AP3" s="120"/>
      <c r="AQ3" s="120"/>
      <c r="AR3" s="120"/>
      <c r="AS3" s="120"/>
      <c r="AT3" s="120"/>
      <c r="AU3" s="120"/>
      <c r="AV3" s="120"/>
      <c r="AW3" s="120"/>
    </row>
    <row r="4" spans="2:29" ht="12" customHeight="1">
      <c r="B4" s="4"/>
      <c r="C4" s="97" t="s">
        <v>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  <c r="W4" s="97" t="s">
        <v>8</v>
      </c>
      <c r="X4" s="106"/>
      <c r="Y4" s="106"/>
      <c r="Z4" s="106"/>
      <c r="AA4" s="106"/>
      <c r="AB4" s="107"/>
      <c r="AC4" s="7"/>
    </row>
    <row r="5" spans="2:29" ht="12" customHeight="1">
      <c r="B5" s="4"/>
      <c r="C5" s="100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2"/>
      <c r="W5" s="108"/>
      <c r="X5" s="109"/>
      <c r="Y5" s="109"/>
      <c r="Z5" s="109"/>
      <c r="AA5" s="109"/>
      <c r="AB5" s="110"/>
      <c r="AC5" s="7"/>
    </row>
    <row r="6" spans="2:29" ht="12" customHeight="1">
      <c r="B6" s="4"/>
      <c r="C6" s="103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5"/>
      <c r="W6" s="111"/>
      <c r="X6" s="112"/>
      <c r="Y6" s="112"/>
      <c r="Z6" s="112"/>
      <c r="AA6" s="112"/>
      <c r="AB6" s="113"/>
      <c r="AC6" s="7"/>
    </row>
    <row r="7" spans="2:29" ht="12" customHeight="1">
      <c r="B7" s="4"/>
      <c r="C7" s="76">
        <v>1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8"/>
      <c r="W7" s="76">
        <v>2</v>
      </c>
      <c r="X7" s="77"/>
      <c r="Y7" s="77"/>
      <c r="Z7" s="77"/>
      <c r="AA7" s="77"/>
      <c r="AB7" s="78"/>
      <c r="AC7" s="7"/>
    </row>
    <row r="8" spans="2:33" ht="44.25" customHeight="1">
      <c r="B8" s="4"/>
      <c r="C8" s="85" t="s">
        <v>66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7"/>
      <c r="W8" s="72">
        <v>270</v>
      </c>
      <c r="X8" s="72"/>
      <c r="Y8" s="72"/>
      <c r="Z8" s="72"/>
      <c r="AA8" s="72"/>
      <c r="AB8" s="72"/>
      <c r="AC8" s="7"/>
      <c r="AE8" s="128"/>
      <c r="AF8" s="128"/>
      <c r="AG8" s="128"/>
    </row>
    <row r="9" spans="2:33" ht="45" customHeight="1" hidden="1">
      <c r="B9" s="4"/>
      <c r="C9" s="85" t="s">
        <v>67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7"/>
      <c r="W9" s="72">
        <v>230</v>
      </c>
      <c r="X9" s="72"/>
      <c r="Y9" s="72"/>
      <c r="Z9" s="72"/>
      <c r="AA9" s="72"/>
      <c r="AB9" s="72"/>
      <c r="AC9" s="7"/>
      <c r="AE9" s="34"/>
      <c r="AF9" s="34"/>
      <c r="AG9" s="34"/>
    </row>
    <row r="10" spans="2:33" ht="35.25" customHeight="1">
      <c r="B10" s="4"/>
      <c r="C10" s="85" t="s">
        <v>68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7"/>
      <c r="W10" s="72">
        <v>270</v>
      </c>
      <c r="X10" s="72"/>
      <c r="Y10" s="72"/>
      <c r="Z10" s="72"/>
      <c r="AA10" s="72"/>
      <c r="AB10" s="72"/>
      <c r="AC10" s="7"/>
      <c r="AE10" s="34"/>
      <c r="AF10" s="34"/>
      <c r="AG10" s="34"/>
    </row>
    <row r="11" spans="2:29" ht="12" customHeight="1">
      <c r="B11" s="4"/>
      <c r="C11" s="12"/>
      <c r="D11" s="12"/>
      <c r="E11" s="12"/>
      <c r="F11" s="12"/>
      <c r="G11" s="12"/>
      <c r="H11" s="12"/>
      <c r="I11" s="12"/>
      <c r="J11" s="13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7"/>
    </row>
    <row r="12" spans="2:29" ht="12" customHeight="1">
      <c r="B12" s="4"/>
      <c r="C12" s="12"/>
      <c r="D12" s="12"/>
      <c r="E12" s="12"/>
      <c r="F12" s="12"/>
      <c r="G12" s="12"/>
      <c r="H12" s="12"/>
      <c r="I12" s="12"/>
      <c r="J12" s="13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7"/>
    </row>
    <row r="13" spans="2:29" ht="12" customHeight="1">
      <c r="B13" s="4"/>
      <c r="C13" s="16"/>
      <c r="D13" s="12"/>
      <c r="E13" s="12"/>
      <c r="F13" s="12"/>
      <c r="G13" s="12"/>
      <c r="H13" s="12"/>
      <c r="I13" s="12"/>
      <c r="J13" s="12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2"/>
      <c r="AC13" s="7"/>
    </row>
    <row r="14" spans="2:29" ht="12" customHeight="1" thickBot="1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</row>
    <row r="23" s="17" customFormat="1" ht="12" customHeight="1"/>
    <row r="24" s="17" customFormat="1" ht="12" customHeight="1"/>
    <row r="25" s="17" customFormat="1" ht="12" customHeight="1"/>
    <row r="26" s="17" customFormat="1" ht="12" customHeight="1"/>
    <row r="27" s="17" customFormat="1" ht="12" customHeight="1"/>
    <row r="29" ht="27" customHeight="1" hidden="1"/>
    <row r="30" ht="27" customHeight="1" hidden="1"/>
    <row r="31" ht="27" customHeight="1" hidden="1"/>
    <row r="32" ht="27" customHeight="1" hidden="1"/>
    <row r="33" s="17" customFormat="1" ht="27" customHeight="1" hidden="1"/>
    <row r="34" s="17" customFormat="1" ht="27" customHeight="1" hidden="1">
      <c r="C34" s="17" t="s">
        <v>11</v>
      </c>
    </row>
    <row r="35" s="17" customFormat="1" ht="27" customHeight="1" hidden="1">
      <c r="C35" s="17" t="s">
        <v>12</v>
      </c>
    </row>
    <row r="36" s="17" customFormat="1" ht="27" customHeight="1" hidden="1">
      <c r="C36" s="17" t="s">
        <v>13</v>
      </c>
    </row>
    <row r="37" s="17" customFormat="1" ht="27" customHeight="1" hidden="1">
      <c r="C37" s="17" t="s">
        <v>14</v>
      </c>
    </row>
    <row r="38" s="17" customFormat="1" ht="27" customHeight="1" hidden="1"/>
    <row r="39" s="17" customFormat="1" ht="27" customHeight="1" hidden="1"/>
    <row r="40" s="17" customFormat="1" ht="27" customHeight="1" hidden="1">
      <c r="C40" s="17" t="s">
        <v>15</v>
      </c>
    </row>
    <row r="41" s="17" customFormat="1" ht="27" customHeight="1" hidden="1">
      <c r="C41" s="17" t="s">
        <v>16</v>
      </c>
    </row>
    <row r="42" s="17" customFormat="1" ht="27" customHeight="1" hidden="1"/>
    <row r="43" s="17" customFormat="1" ht="27" customHeight="1" hidden="1"/>
    <row r="44" s="17" customFormat="1" ht="27" customHeight="1" hidden="1">
      <c r="C44" s="17" t="s">
        <v>17</v>
      </c>
    </row>
    <row r="45" s="17" customFormat="1" ht="27" customHeight="1" hidden="1">
      <c r="C45" s="17" t="s">
        <v>18</v>
      </c>
    </row>
    <row r="46" s="17" customFormat="1" ht="27" customHeight="1" hidden="1"/>
    <row r="47" s="17" customFormat="1" ht="27" customHeight="1" hidden="1"/>
    <row r="48" s="17" customFormat="1" ht="27" customHeight="1" hidden="1">
      <c r="C48" s="17" t="s">
        <v>25</v>
      </c>
    </row>
    <row r="49" s="17" customFormat="1" ht="27" customHeight="1" hidden="1">
      <c r="C49" s="17" t="s">
        <v>26</v>
      </c>
    </row>
    <row r="50" s="17" customFormat="1" ht="27" customHeight="1" hidden="1"/>
    <row r="51" s="17" customFormat="1" ht="27" customHeight="1" hidden="1">
      <c r="C51" s="44">
        <v>27</v>
      </c>
    </row>
    <row r="52" s="17" customFormat="1" ht="27" customHeight="1" hidden="1"/>
    <row r="53" s="17" customFormat="1" ht="27" customHeight="1" hidden="1"/>
    <row r="54" s="17" customFormat="1" ht="27" customHeight="1" hidden="1"/>
    <row r="55" ht="27" customHeight="1" hidden="1"/>
  </sheetData>
  <sheetProtection/>
  <mergeCells count="12">
    <mergeCell ref="AO3:AW3"/>
    <mergeCell ref="W4:AB6"/>
    <mergeCell ref="C7:V7"/>
    <mergeCell ref="C8:V8"/>
    <mergeCell ref="AE8:AG8"/>
    <mergeCell ref="W7:AB7"/>
    <mergeCell ref="C10:V10"/>
    <mergeCell ref="W10:AB10"/>
    <mergeCell ref="C9:V9"/>
    <mergeCell ref="W9:AB9"/>
    <mergeCell ref="C4:V6"/>
    <mergeCell ref="W8:AB8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13" min="2" max="5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B1:BC52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33" width="2.375" style="1" customWidth="1"/>
    <col min="34" max="34" width="9.375" style="1" customWidth="1"/>
    <col min="35" max="16384" width="2.75390625" style="1" customWidth="1"/>
  </cols>
  <sheetData>
    <row r="1" spans="2:48" ht="16.5" customHeight="1" thickBot="1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</row>
    <row r="2" spans="2:35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6"/>
    </row>
    <row r="3" spans="2:55" ht="12" customHeight="1"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7"/>
      <c r="AS3" s="5"/>
      <c r="AT3" s="5"/>
      <c r="AU3" s="120"/>
      <c r="AV3" s="120"/>
      <c r="AW3" s="120"/>
      <c r="AX3" s="120"/>
      <c r="AY3" s="120"/>
      <c r="AZ3" s="120"/>
      <c r="BA3" s="120"/>
      <c r="BB3" s="120"/>
      <c r="BC3" s="120"/>
    </row>
    <row r="4" spans="2:35" ht="12" customHeight="1">
      <c r="B4" s="4"/>
      <c r="C4" s="97" t="s">
        <v>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  <c r="W4" s="97" t="s">
        <v>27</v>
      </c>
      <c r="X4" s="98"/>
      <c r="Y4" s="98"/>
      <c r="Z4" s="98"/>
      <c r="AA4" s="98"/>
      <c r="AB4" s="99"/>
      <c r="AC4" s="97" t="s">
        <v>8</v>
      </c>
      <c r="AD4" s="106"/>
      <c r="AE4" s="106"/>
      <c r="AF4" s="106"/>
      <c r="AG4" s="106"/>
      <c r="AH4" s="107"/>
      <c r="AI4" s="7"/>
    </row>
    <row r="5" spans="2:35" ht="12" customHeight="1">
      <c r="B5" s="4"/>
      <c r="C5" s="100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2"/>
      <c r="W5" s="100"/>
      <c r="X5" s="101"/>
      <c r="Y5" s="101"/>
      <c r="Z5" s="101"/>
      <c r="AA5" s="101"/>
      <c r="AB5" s="102"/>
      <c r="AC5" s="108"/>
      <c r="AD5" s="109"/>
      <c r="AE5" s="109"/>
      <c r="AF5" s="109"/>
      <c r="AG5" s="109"/>
      <c r="AH5" s="110"/>
      <c r="AI5" s="7"/>
    </row>
    <row r="6" spans="2:35" ht="12" customHeight="1">
      <c r="B6" s="4"/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/>
      <c r="W6" s="100"/>
      <c r="X6" s="101"/>
      <c r="Y6" s="101"/>
      <c r="Z6" s="101"/>
      <c r="AA6" s="101"/>
      <c r="AB6" s="102"/>
      <c r="AC6" s="108"/>
      <c r="AD6" s="109"/>
      <c r="AE6" s="109"/>
      <c r="AF6" s="109"/>
      <c r="AG6" s="109"/>
      <c r="AH6" s="110"/>
      <c r="AI6" s="7"/>
    </row>
    <row r="7" spans="2:35" ht="12" customHeight="1">
      <c r="B7" s="4"/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5"/>
      <c r="W7" s="103"/>
      <c r="X7" s="104"/>
      <c r="Y7" s="104"/>
      <c r="Z7" s="104"/>
      <c r="AA7" s="104"/>
      <c r="AB7" s="105"/>
      <c r="AC7" s="111"/>
      <c r="AD7" s="112"/>
      <c r="AE7" s="112"/>
      <c r="AF7" s="112"/>
      <c r="AG7" s="112"/>
      <c r="AH7" s="113"/>
      <c r="AI7" s="7"/>
    </row>
    <row r="8" spans="2:35" ht="12" customHeight="1">
      <c r="B8" s="4"/>
      <c r="C8" s="76">
        <v>1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8"/>
      <c r="W8" s="76">
        <v>2</v>
      </c>
      <c r="X8" s="77"/>
      <c r="Y8" s="77"/>
      <c r="Z8" s="77"/>
      <c r="AA8" s="77"/>
      <c r="AB8" s="78"/>
      <c r="AC8" s="76">
        <v>3</v>
      </c>
      <c r="AD8" s="77"/>
      <c r="AE8" s="77"/>
      <c r="AF8" s="77"/>
      <c r="AG8" s="77"/>
      <c r="AH8" s="78"/>
      <c r="AI8" s="7"/>
    </row>
    <row r="9" spans="2:39" ht="60.75" customHeight="1">
      <c r="B9" s="4"/>
      <c r="C9" s="85" t="s">
        <v>65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7"/>
      <c r="W9" s="88">
        <v>500</v>
      </c>
      <c r="X9" s="88"/>
      <c r="Y9" s="88"/>
      <c r="Z9" s="88"/>
      <c r="AA9" s="88"/>
      <c r="AB9" s="88"/>
      <c r="AC9" s="72">
        <f>((W9*C52*0.03)+(C52*0.2))</f>
        <v>410.4</v>
      </c>
      <c r="AD9" s="72"/>
      <c r="AE9" s="72"/>
      <c r="AF9" s="72"/>
      <c r="AG9" s="72"/>
      <c r="AH9" s="72"/>
      <c r="AI9" s="7"/>
      <c r="AK9" s="128"/>
      <c r="AL9" s="128"/>
      <c r="AM9" s="128"/>
    </row>
    <row r="10" spans="2:35" ht="12" customHeight="1">
      <c r="B10" s="4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8"/>
      <c r="W10" s="76"/>
      <c r="X10" s="77"/>
      <c r="Y10" s="77"/>
      <c r="Z10" s="77"/>
      <c r="AA10" s="77"/>
      <c r="AB10" s="78"/>
      <c r="AC10" s="76"/>
      <c r="AD10" s="77"/>
      <c r="AE10" s="77"/>
      <c r="AF10" s="77"/>
      <c r="AG10" s="77"/>
      <c r="AH10" s="78"/>
      <c r="AI10" s="7"/>
    </row>
    <row r="11" spans="2:35" ht="12" customHeight="1">
      <c r="B11" s="4"/>
      <c r="C11" s="12"/>
      <c r="D11" s="12"/>
      <c r="E11" s="12"/>
      <c r="F11" s="12"/>
      <c r="G11" s="12"/>
      <c r="H11" s="12"/>
      <c r="I11" s="12"/>
      <c r="J11" s="13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  <c r="X11" s="13"/>
      <c r="Y11" s="13"/>
      <c r="Z11" s="14"/>
      <c r="AA11" s="14"/>
      <c r="AB11" s="14"/>
      <c r="AC11" s="12"/>
      <c r="AD11" s="12"/>
      <c r="AE11" s="12"/>
      <c r="AF11" s="12"/>
      <c r="AG11" s="12"/>
      <c r="AH11" s="12"/>
      <c r="AI11" s="7"/>
    </row>
    <row r="12" spans="2:35" ht="12" customHeight="1">
      <c r="B12" s="4"/>
      <c r="C12" s="16"/>
      <c r="D12" s="12"/>
      <c r="E12" s="12"/>
      <c r="F12" s="12"/>
      <c r="G12" s="12"/>
      <c r="H12" s="12"/>
      <c r="I12" s="12"/>
      <c r="J12" s="12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2"/>
      <c r="AI12" s="7"/>
    </row>
    <row r="13" spans="2:35" ht="12" customHeight="1" thickBo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0"/>
    </row>
    <row r="22" s="17" customFormat="1" ht="12" customHeight="1"/>
    <row r="23" s="17" customFormat="1" ht="12" customHeight="1"/>
    <row r="24" s="17" customFormat="1" ht="12" customHeight="1"/>
    <row r="25" s="17" customFormat="1" ht="12" customHeight="1"/>
    <row r="26" s="17" customFormat="1" ht="12" customHeight="1"/>
    <row r="33" s="17" customFormat="1" ht="12" customHeight="1">
      <c r="C33" s="17" t="s">
        <v>11</v>
      </c>
    </row>
    <row r="34" s="17" customFormat="1" ht="12" customHeight="1">
      <c r="C34" s="17" t="s">
        <v>12</v>
      </c>
    </row>
    <row r="35" s="17" customFormat="1" ht="12" customHeight="1">
      <c r="C35" s="17" t="s">
        <v>13</v>
      </c>
    </row>
    <row r="36" s="17" customFormat="1" ht="12" customHeight="1">
      <c r="C36" s="17" t="s">
        <v>14</v>
      </c>
    </row>
    <row r="37" s="17" customFormat="1" ht="12" customHeight="1"/>
    <row r="38" s="17" customFormat="1" ht="12" customHeight="1"/>
    <row r="39" s="17" customFormat="1" ht="12" customHeight="1">
      <c r="C39" s="17" t="s">
        <v>15</v>
      </c>
    </row>
    <row r="40" s="17" customFormat="1" ht="12" customHeight="1">
      <c r="C40" s="17" t="s">
        <v>16</v>
      </c>
    </row>
    <row r="41" s="17" customFormat="1" ht="12" customHeight="1"/>
    <row r="42" s="17" customFormat="1" ht="12" customHeight="1"/>
    <row r="43" s="17" customFormat="1" ht="12" customHeight="1">
      <c r="C43" s="17" t="s">
        <v>17</v>
      </c>
    </row>
    <row r="44" s="17" customFormat="1" ht="12" customHeight="1">
      <c r="C44" s="17" t="s">
        <v>18</v>
      </c>
    </row>
    <row r="45" s="17" customFormat="1" ht="12" customHeight="1"/>
    <row r="46" s="17" customFormat="1" ht="12" customHeight="1"/>
    <row r="47" s="17" customFormat="1" ht="12" customHeight="1">
      <c r="C47" s="17" t="s">
        <v>25</v>
      </c>
    </row>
    <row r="48" s="17" customFormat="1" ht="12" customHeight="1">
      <c r="C48" s="17" t="s">
        <v>26</v>
      </c>
    </row>
    <row r="49" s="17" customFormat="1" ht="12" customHeight="1"/>
    <row r="50" s="17" customFormat="1" ht="12" customHeight="1"/>
    <row r="51" s="17" customFormat="1" ht="12" customHeight="1"/>
    <row r="52" s="17" customFormat="1" ht="12" customHeight="1">
      <c r="C52" s="44">
        <v>27</v>
      </c>
    </row>
    <row r="53" s="17" customFormat="1" ht="12" customHeight="1"/>
    <row r="54" s="17" customFormat="1" ht="12" customHeight="1"/>
    <row r="55" s="17" customFormat="1" ht="12" customHeight="1"/>
    <row r="56" s="17" customFormat="1" ht="12" customHeight="1"/>
    <row r="57" s="17" customFormat="1" ht="12" customHeight="1"/>
  </sheetData>
  <sheetProtection/>
  <mergeCells count="15">
    <mergeCell ref="C10:V10"/>
    <mergeCell ref="W10:AB10"/>
    <mergeCell ref="C4:V7"/>
    <mergeCell ref="AC10:AH10"/>
    <mergeCell ref="AC9:AH9"/>
    <mergeCell ref="AU3:BC3"/>
    <mergeCell ref="AC4:AH7"/>
    <mergeCell ref="AK9:AM9"/>
    <mergeCell ref="AC8:AH8"/>
    <mergeCell ref="W4:AB7"/>
    <mergeCell ref="C8:V8"/>
    <mergeCell ref="W9:AB9"/>
    <mergeCell ref="W8:AB8"/>
    <mergeCell ref="C9:V9"/>
    <mergeCell ref="B1:AV1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12" min="2" max="5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B1:R57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45.75390625" style="1" customWidth="1"/>
    <col min="4" max="4" width="47.625" style="1" customWidth="1"/>
    <col min="5" max="16384" width="2.75390625" style="1" customWidth="1"/>
  </cols>
  <sheetData>
    <row r="1" spans="2:18" ht="16.5" customHeight="1" thickBo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2:5" ht="12" customHeight="1">
      <c r="B2" s="2"/>
      <c r="C2" s="3"/>
      <c r="D2" s="3"/>
      <c r="E2" s="6"/>
    </row>
    <row r="3" spans="2:5" ht="12" customHeight="1">
      <c r="B3" s="4"/>
      <c r="C3" s="30" t="s">
        <v>76</v>
      </c>
      <c r="D3" s="29"/>
      <c r="E3" s="7"/>
    </row>
    <row r="4" spans="2:5" ht="12" customHeight="1">
      <c r="B4" s="4"/>
      <c r="C4" s="30" t="s">
        <v>28</v>
      </c>
      <c r="D4" s="21"/>
      <c r="E4" s="7"/>
    </row>
    <row r="5" spans="2:5" ht="12" customHeight="1">
      <c r="B5" s="4"/>
      <c r="C5" s="30" t="s">
        <v>29</v>
      </c>
      <c r="D5" s="22"/>
      <c r="E5" s="7"/>
    </row>
    <row r="6" spans="2:5" ht="12" customHeight="1">
      <c r="B6" s="4"/>
      <c r="C6" s="20"/>
      <c r="D6" s="22"/>
      <c r="E6" s="7"/>
    </row>
    <row r="7" spans="2:5" ht="31.5" customHeight="1">
      <c r="B7" s="4"/>
      <c r="C7" s="129" t="s">
        <v>77</v>
      </c>
      <c r="D7" s="129"/>
      <c r="E7" s="7"/>
    </row>
    <row r="8" spans="2:5" ht="12" customHeight="1">
      <c r="B8" s="4"/>
      <c r="C8" s="23"/>
      <c r="D8" s="19"/>
      <c r="E8" s="7"/>
    </row>
    <row r="9" spans="2:5" ht="12" customHeight="1">
      <c r="B9" s="4"/>
      <c r="C9" s="23"/>
      <c r="D9" s="12"/>
      <c r="E9" s="7"/>
    </row>
    <row r="10" spans="2:5" ht="34.5" customHeight="1">
      <c r="B10" s="4"/>
      <c r="C10" s="24" t="s">
        <v>78</v>
      </c>
      <c r="D10" s="24" t="s">
        <v>30</v>
      </c>
      <c r="E10" s="7"/>
    </row>
    <row r="11" spans="2:5" ht="12" customHeight="1">
      <c r="B11" s="4"/>
      <c r="C11" s="47" t="s">
        <v>117</v>
      </c>
      <c r="D11" s="47"/>
      <c r="E11" s="7"/>
    </row>
    <row r="12" spans="2:5" ht="12" customHeight="1">
      <c r="B12" s="4"/>
      <c r="C12" s="27" t="s">
        <v>118</v>
      </c>
      <c r="D12" s="45"/>
      <c r="E12" s="7"/>
    </row>
    <row r="13" spans="2:5" ht="12" customHeight="1">
      <c r="B13" s="4"/>
      <c r="C13" s="28" t="s">
        <v>79</v>
      </c>
      <c r="D13" s="45" t="s">
        <v>54</v>
      </c>
      <c r="E13" s="7"/>
    </row>
    <row r="14" spans="2:5" ht="21">
      <c r="B14" s="4"/>
      <c r="C14" s="28" t="s">
        <v>80</v>
      </c>
      <c r="D14" s="45" t="s">
        <v>83</v>
      </c>
      <c r="E14" s="7"/>
    </row>
    <row r="15" spans="2:5" ht="21">
      <c r="B15" s="4"/>
      <c r="C15" s="28" t="s">
        <v>81</v>
      </c>
      <c r="D15" s="45" t="s">
        <v>33</v>
      </c>
      <c r="E15" s="7"/>
    </row>
    <row r="16" spans="2:5" ht="21">
      <c r="B16" s="4"/>
      <c r="C16" s="27" t="s">
        <v>82</v>
      </c>
      <c r="D16" s="45" t="s">
        <v>84</v>
      </c>
      <c r="E16" s="7"/>
    </row>
    <row r="17" spans="2:5" ht="21">
      <c r="B17" s="4"/>
      <c r="C17" s="27" t="s">
        <v>85</v>
      </c>
      <c r="D17" s="45" t="s">
        <v>54</v>
      </c>
      <c r="E17" s="7"/>
    </row>
    <row r="18" spans="2:5" ht="21">
      <c r="B18" s="4"/>
      <c r="C18" s="25" t="s">
        <v>86</v>
      </c>
      <c r="D18" s="45" t="s">
        <v>119</v>
      </c>
      <c r="E18" s="7"/>
    </row>
    <row r="19" spans="2:5" ht="94.5">
      <c r="B19" s="4"/>
      <c r="C19" s="48" t="s">
        <v>87</v>
      </c>
      <c r="D19" s="45" t="s">
        <v>31</v>
      </c>
      <c r="E19" s="7"/>
    </row>
    <row r="20" spans="2:5" ht="12" customHeight="1">
      <c r="B20" s="4"/>
      <c r="C20" s="27" t="s">
        <v>88</v>
      </c>
      <c r="D20" s="45" t="s">
        <v>31</v>
      </c>
      <c r="E20" s="7"/>
    </row>
    <row r="21" spans="2:5" ht="21">
      <c r="B21" s="4"/>
      <c r="C21" s="27" t="s">
        <v>55</v>
      </c>
      <c r="D21" s="45" t="s">
        <v>120</v>
      </c>
      <c r="E21" s="7"/>
    </row>
    <row r="22" spans="2:5" ht="12" customHeight="1">
      <c r="B22" s="4"/>
      <c r="C22" s="27" t="s">
        <v>56</v>
      </c>
      <c r="D22" s="45" t="s">
        <v>121</v>
      </c>
      <c r="E22" s="7"/>
    </row>
    <row r="23" spans="2:5" ht="12" customHeight="1">
      <c r="B23" s="4"/>
      <c r="C23" s="27" t="s">
        <v>89</v>
      </c>
      <c r="D23" s="45" t="s">
        <v>57</v>
      </c>
      <c r="E23" s="7"/>
    </row>
    <row r="24" spans="2:5" ht="12" customHeight="1">
      <c r="B24" s="4"/>
      <c r="C24" s="27" t="s">
        <v>90</v>
      </c>
      <c r="D24" s="45" t="s">
        <v>122</v>
      </c>
      <c r="E24" s="7"/>
    </row>
    <row r="25" spans="2:5" ht="52.5">
      <c r="B25" s="4"/>
      <c r="C25" s="25" t="s">
        <v>91</v>
      </c>
      <c r="D25" s="45" t="s">
        <v>31</v>
      </c>
      <c r="E25" s="7"/>
    </row>
    <row r="26" spans="2:5" ht="21">
      <c r="B26" s="4"/>
      <c r="C26" s="27" t="s">
        <v>92</v>
      </c>
      <c r="D26" s="45" t="s">
        <v>58</v>
      </c>
      <c r="E26" s="7"/>
    </row>
    <row r="27" spans="2:5" ht="12" customHeight="1">
      <c r="B27" s="4"/>
      <c r="C27" s="27" t="s">
        <v>93</v>
      </c>
      <c r="D27" s="45" t="s">
        <v>34</v>
      </c>
      <c r="E27" s="7"/>
    </row>
    <row r="28" spans="2:5" ht="21">
      <c r="B28" s="4"/>
      <c r="C28" s="25" t="s">
        <v>94</v>
      </c>
      <c r="D28" s="45" t="s">
        <v>31</v>
      </c>
      <c r="E28" s="7"/>
    </row>
    <row r="29" spans="2:5" ht="12" customHeight="1">
      <c r="B29" s="4"/>
      <c r="C29" s="27" t="s">
        <v>95</v>
      </c>
      <c r="D29" s="45" t="s">
        <v>36</v>
      </c>
      <c r="E29" s="7"/>
    </row>
    <row r="30" spans="2:5" ht="12" customHeight="1">
      <c r="B30" s="4"/>
      <c r="C30" s="27" t="s">
        <v>96</v>
      </c>
      <c r="D30" s="45" t="s">
        <v>37</v>
      </c>
      <c r="E30" s="7"/>
    </row>
    <row r="31" spans="2:5" ht="12" customHeight="1">
      <c r="B31" s="4"/>
      <c r="C31" s="27" t="s">
        <v>97</v>
      </c>
      <c r="D31" s="45" t="s">
        <v>123</v>
      </c>
      <c r="E31" s="7"/>
    </row>
    <row r="32" spans="2:5" ht="12" customHeight="1">
      <c r="B32" s="4"/>
      <c r="C32" s="25" t="s">
        <v>98</v>
      </c>
      <c r="D32" s="45" t="s">
        <v>31</v>
      </c>
      <c r="E32" s="7"/>
    </row>
    <row r="33" spans="2:5" ht="42">
      <c r="B33" s="4"/>
      <c r="C33" s="27" t="s">
        <v>99</v>
      </c>
      <c r="D33" s="45" t="s">
        <v>59</v>
      </c>
      <c r="E33" s="7"/>
    </row>
    <row r="34" spans="2:5" ht="64.5" customHeight="1">
      <c r="B34" s="4"/>
      <c r="C34" s="27" t="s">
        <v>100</v>
      </c>
      <c r="D34" s="45" t="s">
        <v>60</v>
      </c>
      <c r="E34" s="7"/>
    </row>
    <row r="35" spans="2:5" ht="42">
      <c r="B35" s="4"/>
      <c r="C35" s="27" t="s">
        <v>101</v>
      </c>
      <c r="D35" s="45" t="s">
        <v>60</v>
      </c>
      <c r="E35" s="7"/>
    </row>
    <row r="36" spans="2:5" ht="21">
      <c r="B36" s="4"/>
      <c r="C36" s="25" t="s">
        <v>102</v>
      </c>
      <c r="D36" s="45" t="s">
        <v>31</v>
      </c>
      <c r="E36" s="7"/>
    </row>
    <row r="37" spans="2:5" ht="12" customHeight="1">
      <c r="B37" s="4"/>
      <c r="C37" s="27" t="s">
        <v>103</v>
      </c>
      <c r="D37" s="45" t="s">
        <v>31</v>
      </c>
      <c r="E37" s="7"/>
    </row>
    <row r="38" spans="2:5" ht="12" customHeight="1">
      <c r="B38" s="4"/>
      <c r="C38" s="28" t="s">
        <v>104</v>
      </c>
      <c r="D38" s="45" t="s">
        <v>31</v>
      </c>
      <c r="E38" s="7"/>
    </row>
    <row r="39" spans="2:5" ht="12" customHeight="1">
      <c r="B39" s="4"/>
      <c r="C39" s="28" t="s">
        <v>61</v>
      </c>
      <c r="D39" s="45" t="s">
        <v>38</v>
      </c>
      <c r="E39" s="7"/>
    </row>
    <row r="40" spans="2:5" ht="12" customHeight="1">
      <c r="B40" s="4"/>
      <c r="C40" s="28" t="s">
        <v>62</v>
      </c>
      <c r="D40" s="45" t="s">
        <v>36</v>
      </c>
      <c r="E40" s="7"/>
    </row>
    <row r="41" spans="2:5" ht="12" customHeight="1">
      <c r="B41" s="4"/>
      <c r="C41" s="28" t="s">
        <v>63</v>
      </c>
      <c r="D41" s="45" t="s">
        <v>39</v>
      </c>
      <c r="E41" s="7"/>
    </row>
    <row r="42" spans="2:5" ht="12" customHeight="1">
      <c r="B42" s="4"/>
      <c r="C42" s="28" t="s">
        <v>105</v>
      </c>
      <c r="D42" s="45" t="s">
        <v>40</v>
      </c>
      <c r="E42" s="7"/>
    </row>
    <row r="43" spans="2:5" ht="31.5">
      <c r="B43" s="4"/>
      <c r="C43" s="27" t="s">
        <v>106</v>
      </c>
      <c r="D43" s="45" t="s">
        <v>40</v>
      </c>
      <c r="E43" s="7"/>
    </row>
    <row r="44" spans="2:5" ht="42">
      <c r="B44" s="4"/>
      <c r="C44" s="25" t="s">
        <v>107</v>
      </c>
      <c r="D44" s="45" t="s">
        <v>35</v>
      </c>
      <c r="E44" s="7"/>
    </row>
    <row r="45" spans="2:5" ht="21">
      <c r="B45" s="4"/>
      <c r="C45" s="25" t="s">
        <v>108</v>
      </c>
      <c r="D45" s="45" t="s">
        <v>31</v>
      </c>
      <c r="E45" s="7"/>
    </row>
    <row r="46" spans="2:5" ht="31.5">
      <c r="B46" s="4"/>
      <c r="C46" s="27" t="s">
        <v>109</v>
      </c>
      <c r="D46" s="45" t="s">
        <v>32</v>
      </c>
      <c r="E46" s="7"/>
    </row>
    <row r="47" spans="2:5" ht="21">
      <c r="B47" s="4"/>
      <c r="C47" s="27" t="s">
        <v>110</v>
      </c>
      <c r="D47" s="45" t="s">
        <v>35</v>
      </c>
      <c r="E47" s="7"/>
    </row>
    <row r="48" spans="2:5" ht="21">
      <c r="B48" s="4"/>
      <c r="C48" s="25" t="s">
        <v>111</v>
      </c>
      <c r="D48" s="45" t="s">
        <v>35</v>
      </c>
      <c r="E48" s="7"/>
    </row>
    <row r="49" spans="2:5" ht="52.5">
      <c r="B49" s="4"/>
      <c r="C49" s="25" t="s">
        <v>112</v>
      </c>
      <c r="D49" s="45" t="s">
        <v>35</v>
      </c>
      <c r="E49" s="7"/>
    </row>
    <row r="50" spans="2:5" ht="52.5">
      <c r="B50" s="4"/>
      <c r="C50" s="25" t="s">
        <v>64</v>
      </c>
      <c r="D50" s="45" t="s">
        <v>35</v>
      </c>
      <c r="E50" s="7"/>
    </row>
    <row r="51" spans="2:5" ht="31.5">
      <c r="B51" s="4"/>
      <c r="C51" s="25" t="s">
        <v>113</v>
      </c>
      <c r="D51" s="45" t="s">
        <v>35</v>
      </c>
      <c r="E51" s="7"/>
    </row>
    <row r="52" spans="2:5" ht="31.5">
      <c r="B52" s="4"/>
      <c r="C52" s="25" t="s">
        <v>114</v>
      </c>
      <c r="D52" s="45" t="s">
        <v>35</v>
      </c>
      <c r="E52" s="7"/>
    </row>
    <row r="53" spans="2:5" ht="21">
      <c r="B53" s="4"/>
      <c r="C53" s="25" t="s">
        <v>115</v>
      </c>
      <c r="D53" s="45" t="s">
        <v>38</v>
      </c>
      <c r="E53" s="7"/>
    </row>
    <row r="54" spans="2:5" ht="21">
      <c r="B54" s="4"/>
      <c r="C54" s="26" t="s">
        <v>116</v>
      </c>
      <c r="D54" s="46" t="s">
        <v>41</v>
      </c>
      <c r="E54" s="7"/>
    </row>
    <row r="55" spans="2:5" ht="12" customHeight="1">
      <c r="B55" s="4"/>
      <c r="C55" s="23"/>
      <c r="D55" s="11"/>
      <c r="E55" s="7"/>
    </row>
    <row r="56" spans="2:5" ht="25.5" customHeight="1">
      <c r="B56" s="4"/>
      <c r="C56" s="130"/>
      <c r="D56" s="130"/>
      <c r="E56" s="7"/>
    </row>
    <row r="57" spans="2:5" ht="12" customHeight="1" thickBot="1">
      <c r="B57" s="8"/>
      <c r="C57" s="9"/>
      <c r="D57" s="9"/>
      <c r="E57" s="10"/>
    </row>
    <row r="66" s="17" customFormat="1" ht="12" customHeight="1"/>
    <row r="67" s="17" customFormat="1" ht="12" customHeight="1"/>
    <row r="68" s="17" customFormat="1" ht="12" customHeight="1"/>
    <row r="69" s="17" customFormat="1" ht="12" customHeight="1"/>
    <row r="70" s="17" customFormat="1" ht="12" customHeight="1"/>
  </sheetData>
  <sheetProtection/>
  <mergeCells count="2">
    <mergeCell ref="C7:D7"/>
    <mergeCell ref="C56:D56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6" min="3" max="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2011-07-21T11:11:11Z</cp:lastPrinted>
  <dcterms:created xsi:type="dcterms:W3CDTF">2003-10-18T11:05:50Z</dcterms:created>
  <dcterms:modified xsi:type="dcterms:W3CDTF">2021-03-17T10:19:24Z</dcterms:modified>
  <cp:category/>
  <cp:version/>
  <cp:contentType/>
  <cp:contentStatus/>
</cp:coreProperties>
</file>